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520"/>
  </bookViews>
  <sheets>
    <sheet name="ჯამი" sheetId="15" r:id="rId1"/>
    <sheet name="დანამატით" sheetId="6" state="hidden" r:id="rId2"/>
    <sheet name="Renovation" sheetId="14" r:id="rId3"/>
    <sheet name="HVAC" sheetId="8" r:id="rId4"/>
    <sheet name="სახანძრო სპრინკლერის გარეშე" sheetId="13" r:id="rId5"/>
    <sheet name="ელექტროობა" sheetId="10" r:id="rId6"/>
    <sheet name="სუსტი დენები" sheetId="11" r:id="rId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9" i="14" l="1"/>
  <c r="D327" i="14"/>
  <c r="D384" i="14"/>
  <c r="D383" i="14"/>
  <c r="D382" i="14"/>
  <c r="D381" i="14"/>
  <c r="D380" i="14"/>
  <c r="D379" i="14"/>
  <c r="D378" i="14"/>
  <c r="D377" i="14"/>
  <c r="D375" i="14"/>
  <c r="D374" i="14"/>
  <c r="D372" i="14"/>
  <c r="D371" i="14"/>
  <c r="D370" i="14"/>
  <c r="D369" i="14"/>
  <c r="D368" i="14"/>
  <c r="D366" i="14"/>
  <c r="D365" i="14"/>
  <c r="D363" i="14"/>
  <c r="D362" i="14"/>
  <c r="D361" i="14"/>
  <c r="D360" i="14"/>
  <c r="D359" i="14"/>
  <c r="D357" i="14"/>
  <c r="D356" i="14"/>
  <c r="A373" i="14"/>
  <c r="D354" i="14"/>
  <c r="D353" i="14"/>
  <c r="D352" i="14"/>
  <c r="D351" i="14"/>
  <c r="D350" i="14"/>
  <c r="D349" i="14"/>
  <c r="D348" i="14"/>
  <c r="D346" i="14"/>
  <c r="D345" i="14"/>
  <c r="D339" i="14"/>
  <c r="D341" i="14" s="1"/>
  <c r="D335" i="14"/>
  <c r="D333" i="14"/>
  <c r="D332" i="14"/>
  <c r="D323" i="14"/>
  <c r="D321" i="14"/>
  <c r="D322" i="14" s="1"/>
  <c r="D319" i="14"/>
  <c r="D311" i="14"/>
  <c r="D316" i="14" s="1"/>
  <c r="D310" i="14"/>
  <c r="D309" i="14"/>
  <c r="D308" i="14"/>
  <c r="D306" i="14"/>
  <c r="D305" i="14"/>
  <c r="D303" i="14"/>
  <c r="D302" i="14"/>
  <c r="D300" i="14"/>
  <c r="C298" i="14"/>
  <c r="D296" i="14"/>
  <c r="D298" i="14" s="1"/>
  <c r="D292" i="14"/>
  <c r="D294" i="14" s="1"/>
  <c r="C292" i="14"/>
  <c r="C294" i="14" s="1"/>
  <c r="D290" i="14"/>
  <c r="D288" i="14"/>
  <c r="D284" i="14"/>
  <c r="D286" i="14" s="1"/>
  <c r="D280" i="14"/>
  <c r="D282" i="14" s="1"/>
  <c r="C262" i="14"/>
  <c r="D260" i="14"/>
  <c r="D259" i="14"/>
  <c r="D257" i="14"/>
  <c r="D256" i="14"/>
  <c r="D253" i="14"/>
  <c r="D252" i="14"/>
  <c r="D248" i="14"/>
  <c r="D249" i="14" s="1"/>
  <c r="D247" i="14"/>
  <c r="D246" i="14"/>
  <c r="D245" i="14"/>
  <c r="D243" i="14"/>
  <c r="D242" i="14"/>
  <c r="C242" i="14"/>
  <c r="C245" i="14" s="1"/>
  <c r="D240" i="14"/>
  <c r="D239" i="14"/>
  <c r="D238" i="14"/>
  <c r="D236" i="14"/>
  <c r="D235" i="14"/>
  <c r="D233" i="14"/>
  <c r="D232" i="14"/>
  <c r="D231" i="14"/>
  <c r="D229" i="14"/>
  <c r="D228" i="14"/>
  <c r="D226" i="14"/>
  <c r="D225" i="14"/>
  <c r="D224" i="14"/>
  <c r="D222" i="14"/>
  <c r="D221" i="14"/>
  <c r="D214" i="14"/>
  <c r="D218" i="14" s="1"/>
  <c r="D213" i="14"/>
  <c r="D212" i="14"/>
  <c r="D210" i="14"/>
  <c r="D209" i="14"/>
  <c r="D202" i="14"/>
  <c r="D203" i="14" s="1"/>
  <c r="D180" i="14"/>
  <c r="D187" i="14" s="1"/>
  <c r="D177" i="14"/>
  <c r="D175" i="14"/>
  <c r="D173" i="14"/>
  <c r="D178" i="14" s="1"/>
  <c r="D172" i="14"/>
  <c r="D171" i="14"/>
  <c r="D170" i="14"/>
  <c r="D168" i="14"/>
  <c r="D167" i="14"/>
  <c r="D165" i="14"/>
  <c r="D162" i="14"/>
  <c r="D158" i="14"/>
  <c r="D160" i="14" s="1"/>
  <c r="D156" i="14"/>
  <c r="D155" i="14"/>
  <c r="D154" i="14"/>
  <c r="C154" i="14"/>
  <c r="D152" i="14"/>
  <c r="D151" i="14"/>
  <c r="C151" i="14"/>
  <c r="D149" i="14"/>
  <c r="D148" i="14"/>
  <c r="D147" i="14"/>
  <c r="C147" i="14"/>
  <c r="D145" i="14"/>
  <c r="D144" i="14"/>
  <c r="C144" i="14"/>
  <c r="D140" i="14"/>
  <c r="C140" i="14"/>
  <c r="C137" i="14"/>
  <c r="C141" i="14" s="1"/>
  <c r="D136" i="14"/>
  <c r="D141" i="14" s="1"/>
  <c r="D135" i="14"/>
  <c r="D134" i="14"/>
  <c r="D133" i="14"/>
  <c r="C133" i="14"/>
  <c r="D131" i="14"/>
  <c r="D130" i="14"/>
  <c r="C130" i="14"/>
  <c r="D128" i="14"/>
  <c r="D127" i="14"/>
  <c r="D126" i="14"/>
  <c r="C126" i="14"/>
  <c r="D124" i="14"/>
  <c r="D123" i="14"/>
  <c r="C123" i="14"/>
  <c r="D121" i="14"/>
  <c r="D120" i="14"/>
  <c r="D119" i="14"/>
  <c r="D117" i="14"/>
  <c r="D116" i="14"/>
  <c r="D114" i="14"/>
  <c r="D113" i="14"/>
  <c r="D112" i="14"/>
  <c r="C112" i="14"/>
  <c r="D110" i="14"/>
  <c r="D109" i="14"/>
  <c r="C109" i="14"/>
  <c r="D107" i="14"/>
  <c r="D106" i="14"/>
  <c r="D105" i="14"/>
  <c r="C105" i="14"/>
  <c r="D103" i="14"/>
  <c r="D102" i="14"/>
  <c r="C102" i="14"/>
  <c r="D94" i="14"/>
  <c r="D96" i="14" s="1"/>
  <c r="D88" i="14"/>
  <c r="D83" i="14"/>
  <c r="D82" i="14"/>
  <c r="D90" i="14" s="1"/>
  <c r="D81" i="14"/>
  <c r="D80" i="14"/>
  <c r="D78" i="14"/>
  <c r="D76" i="14"/>
  <c r="D75" i="14"/>
  <c r="D73" i="14"/>
  <c r="D72" i="14"/>
  <c r="D71" i="14"/>
  <c r="D69" i="14"/>
  <c r="D68" i="14"/>
  <c r="D66" i="14"/>
  <c r="D65" i="14"/>
  <c r="D64" i="14"/>
  <c r="D62" i="14"/>
  <c r="D61" i="14"/>
  <c r="D59" i="14"/>
  <c r="D58" i="14"/>
  <c r="D57" i="14"/>
  <c r="D56" i="14"/>
  <c r="D54" i="14"/>
  <c r="D53" i="14"/>
  <c r="D51" i="14"/>
  <c r="D50" i="14"/>
  <c r="D49" i="14"/>
  <c r="D48" i="14"/>
  <c r="D47" i="14"/>
  <c r="D45" i="14"/>
  <c r="D44" i="14"/>
  <c r="D42" i="14"/>
  <c r="D41" i="14"/>
  <c r="D40" i="14"/>
  <c r="D38" i="14"/>
  <c r="D37" i="14"/>
  <c r="A36" i="14"/>
  <c r="A43" i="14" s="1"/>
  <c r="A52" i="14" s="1"/>
  <c r="A60" i="14" s="1"/>
  <c r="A67" i="14" s="1"/>
  <c r="D35" i="14"/>
  <c r="D34" i="14"/>
  <c r="D33" i="14"/>
  <c r="D32" i="14"/>
  <c r="D31" i="14"/>
  <c r="D29" i="14"/>
  <c r="D28" i="14"/>
  <c r="A27" i="14"/>
  <c r="D26" i="14"/>
  <c r="D25" i="14"/>
  <c r="D24" i="14"/>
  <c r="D23" i="14"/>
  <c r="D21" i="14"/>
  <c r="D20" i="14"/>
  <c r="D84" i="14" l="1"/>
  <c r="D312" i="14"/>
  <c r="D91" i="14"/>
  <c r="D174" i="14"/>
  <c r="D261" i="14"/>
  <c r="D262" i="14" s="1"/>
  <c r="D99" i="14"/>
  <c r="D254" i="14"/>
  <c r="D315" i="14"/>
  <c r="D142" i="14"/>
  <c r="D317" i="14"/>
  <c r="D204" i="14"/>
  <c r="D100" i="14"/>
  <c r="D137" i="14"/>
  <c r="D138" i="14"/>
  <c r="D250" i="14"/>
  <c r="D93" i="14"/>
  <c r="D179" i="14"/>
  <c r="D343" i="14"/>
  <c r="D98" i="14"/>
  <c r="D313" i="14"/>
  <c r="A74" i="14"/>
  <c r="A82" i="14"/>
  <c r="A94" i="14" s="1"/>
  <c r="D195" i="14"/>
  <c r="D191" i="14"/>
  <c r="D194" i="14"/>
  <c r="D189" i="14"/>
  <c r="D188" i="14"/>
  <c r="D193" i="14"/>
  <c r="D185" i="14"/>
  <c r="D206" i="14"/>
  <c r="D215" i="14"/>
  <c r="D267" i="14"/>
  <c r="D181" i="14"/>
  <c r="D263" i="14"/>
  <c r="D207" i="14"/>
  <c r="D216" i="14"/>
  <c r="D265" i="14"/>
  <c r="D273" i="14"/>
  <c r="D340" i="14"/>
  <c r="D86" i="14"/>
  <c r="D89" i="14"/>
  <c r="D92" i="14"/>
  <c r="D95" i="14"/>
  <c r="D182" i="14"/>
  <c r="D186" i="14"/>
  <c r="D219" i="14"/>
  <c r="D184" i="14"/>
  <c r="D266" i="14"/>
  <c r="D87" i="14"/>
  <c r="D196" i="14" l="1"/>
  <c r="D200" i="14"/>
  <c r="D199" i="14"/>
  <c r="D197" i="14"/>
  <c r="D201" i="14"/>
  <c r="D192" i="14"/>
  <c r="A101" i="14"/>
  <c r="A108" i="14" s="1"/>
  <c r="A115" i="14" s="1"/>
  <c r="A122" i="14" s="1"/>
  <c r="A129" i="14" s="1"/>
  <c r="A157" i="14"/>
  <c r="A161" i="14" s="1"/>
  <c r="A166" i="14" s="1"/>
  <c r="A173" i="14" s="1"/>
  <c r="A180" i="14" s="1"/>
  <c r="A187" i="14" s="1"/>
  <c r="A195" i="14" s="1"/>
  <c r="A202" i="14" s="1"/>
  <c r="A208" i="14" s="1"/>
  <c r="D271" i="14"/>
  <c r="D268" i="14"/>
  <c r="D272" i="14"/>
  <c r="D275" i="14"/>
  <c r="D274" i="14"/>
  <c r="D278" i="14"/>
  <c r="D277" i="14"/>
  <c r="J385" i="14" l="1"/>
  <c r="A214" i="14"/>
  <c r="A220" i="14"/>
  <c r="A227" i="14" s="1"/>
  <c r="A234" i="14" s="1"/>
  <c r="A241" i="14" s="1"/>
  <c r="A143" i="14"/>
  <c r="A150" i="14" s="1"/>
  <c r="A136" i="14"/>
  <c r="A261" i="14" l="1"/>
  <c r="A267" i="14" s="1"/>
  <c r="A248" i="14"/>
  <c r="A255" i="14"/>
  <c r="H385" i="14"/>
  <c r="A279" i="14" l="1"/>
  <c r="A283" i="14" s="1"/>
  <c r="A287" i="14" s="1"/>
  <c r="A291" i="14" s="1"/>
  <c r="A295" i="14" s="1"/>
  <c r="A299" i="14" s="1"/>
  <c r="A304" i="14" s="1"/>
  <c r="A311" i="14" s="1"/>
  <c r="A318" i="14" s="1"/>
  <c r="A273" i="14"/>
  <c r="K385" i="14"/>
  <c r="F385" i="14"/>
  <c r="K386" i="14" s="1"/>
  <c r="K387" i="14" l="1"/>
  <c r="K388" i="14" s="1"/>
  <c r="K389" i="14" s="1"/>
  <c r="K390" i="14" s="1"/>
  <c r="K391" i="14" s="1"/>
  <c r="K392" i="14" s="1"/>
  <c r="K393" i="14" s="1"/>
  <c r="K394" i="14" l="1"/>
  <c r="K395" i="14" s="1"/>
  <c r="H60" i="13" l="1"/>
  <c r="F60" i="13"/>
  <c r="I60" i="13" l="1"/>
  <c r="H61" i="13"/>
  <c r="F61" i="13"/>
  <c r="I62" i="13" s="1"/>
  <c r="I61" i="13" l="1"/>
  <c r="I63" i="13" s="1"/>
  <c r="I64" i="13" l="1"/>
  <c r="I65" i="13" l="1"/>
  <c r="I66" i="13" s="1"/>
  <c r="I67" i="13" l="1"/>
  <c r="I68" i="13" l="1"/>
  <c r="I69" i="13" l="1"/>
  <c r="I70" i="13" l="1"/>
  <c r="I71" i="13" l="1"/>
  <c r="H327" i="6" l="1"/>
  <c r="D253" i="6"/>
  <c r="M58" i="6" l="1"/>
  <c r="J47" i="11" l="1"/>
  <c r="D92" i="8"/>
  <c r="F48" i="11" l="1"/>
  <c r="I49" i="11" s="1"/>
  <c r="F88" i="10"/>
  <c r="I89" i="10" s="1"/>
  <c r="H48" i="11"/>
  <c r="H201" i="8"/>
  <c r="H88" i="10"/>
  <c r="I88" i="10" l="1"/>
  <c r="I90" i="10" s="1"/>
  <c r="I91" i="10" s="1"/>
  <c r="I92" i="10" s="1"/>
  <c r="F201" i="8"/>
  <c r="I202" i="8" s="1"/>
  <c r="I201" i="8"/>
  <c r="I48" i="11"/>
  <c r="I50" i="11" s="1"/>
  <c r="I51" i="11" s="1"/>
  <c r="I52" i="11" s="1"/>
  <c r="E119" i="6"/>
  <c r="E238" i="6" s="1"/>
  <c r="E144" i="6"/>
  <c r="E139" i="6"/>
  <c r="G242" i="6"/>
  <c r="G248" i="6"/>
  <c r="G254" i="6"/>
  <c r="I306" i="6"/>
  <c r="J306" i="6" s="1"/>
  <c r="K306" i="6" s="1"/>
  <c r="E309" i="6"/>
  <c r="F309" i="6" s="1"/>
  <c r="E305" i="6"/>
  <c r="F305" i="6" s="1"/>
  <c r="K305" i="6" s="1"/>
  <c r="N323" i="6"/>
  <c r="G309" i="6"/>
  <c r="H309" i="6" s="1"/>
  <c r="G308" i="6"/>
  <c r="H308" i="6" s="1"/>
  <c r="K308" i="6" s="1"/>
  <c r="D308" i="6"/>
  <c r="I307" i="6"/>
  <c r="J307" i="6" s="1"/>
  <c r="K307" i="6" s="1"/>
  <c r="D304" i="6"/>
  <c r="F304" i="6" s="1"/>
  <c r="K304" i="6" s="1"/>
  <c r="E303" i="6"/>
  <c r="D303" i="6"/>
  <c r="D301" i="6"/>
  <c r="J301" i="6" s="1"/>
  <c r="K301" i="6" s="1"/>
  <c r="G300" i="6"/>
  <c r="D300" i="6"/>
  <c r="C300" i="6"/>
  <c r="E297" i="6"/>
  <c r="E296" i="6"/>
  <c r="G294" i="6"/>
  <c r="D293" i="6"/>
  <c r="D294" i="6" s="1"/>
  <c r="E292" i="6"/>
  <c r="D292" i="6"/>
  <c r="D291" i="6"/>
  <c r="D290" i="6"/>
  <c r="D288" i="6"/>
  <c r="J288" i="6" s="1"/>
  <c r="K288" i="6" s="1"/>
  <c r="D287" i="6"/>
  <c r="D285" i="6"/>
  <c r="E284" i="6"/>
  <c r="D284" i="6"/>
  <c r="G282" i="6"/>
  <c r="D282" i="6"/>
  <c r="E280" i="6"/>
  <c r="C280" i="6"/>
  <c r="D278" i="6"/>
  <c r="D280" i="6" s="1"/>
  <c r="E276" i="6"/>
  <c r="D274" i="6"/>
  <c r="D276" i="6" s="1"/>
  <c r="C274" i="6"/>
  <c r="C276" i="6" s="1"/>
  <c r="E272" i="6"/>
  <c r="D270" i="6"/>
  <c r="D272" i="6" s="1"/>
  <c r="E268" i="6"/>
  <c r="G266" i="6"/>
  <c r="D266" i="6"/>
  <c r="D268" i="6" s="1"/>
  <c r="E263" i="6"/>
  <c r="D259" i="6"/>
  <c r="D263" i="6" s="1"/>
  <c r="D258" i="6"/>
  <c r="F258" i="6" s="1"/>
  <c r="K258" i="6" s="1"/>
  <c r="E257" i="6"/>
  <c r="D257" i="6"/>
  <c r="D255" i="6"/>
  <c r="J255" i="6" s="1"/>
  <c r="K255" i="6" s="1"/>
  <c r="D254" i="6"/>
  <c r="C254" i="6"/>
  <c r="E251" i="6"/>
  <c r="K250" i="6"/>
  <c r="K247" i="6"/>
  <c r="D249" i="6"/>
  <c r="J249" i="6" s="1"/>
  <c r="K249" i="6" s="1"/>
  <c r="K244" i="6"/>
  <c r="K241" i="6"/>
  <c r="D242" i="6"/>
  <c r="D240" i="6"/>
  <c r="F240" i="6" s="1"/>
  <c r="K240" i="6" s="1"/>
  <c r="D239" i="6"/>
  <c r="D238" i="6"/>
  <c r="D236" i="6"/>
  <c r="J236" i="6" s="1"/>
  <c r="K236" i="6" s="1"/>
  <c r="D235" i="6"/>
  <c r="C235" i="6"/>
  <c r="C238" i="6" s="1"/>
  <c r="D233" i="6"/>
  <c r="F233" i="6" s="1"/>
  <c r="K233" i="6" s="1"/>
  <c r="D232" i="6"/>
  <c r="F232" i="6" s="1"/>
  <c r="K232" i="6" s="1"/>
  <c r="D231" i="6"/>
  <c r="F231" i="6" s="1"/>
  <c r="K231" i="6" s="1"/>
  <c r="D230" i="6"/>
  <c r="F230" i="6" s="1"/>
  <c r="K230" i="6" s="1"/>
  <c r="D229" i="6"/>
  <c r="F229" i="6" s="1"/>
  <c r="K229" i="6" s="1"/>
  <c r="D228" i="6"/>
  <c r="F228" i="6" s="1"/>
  <c r="K228" i="6" s="1"/>
  <c r="D227" i="6"/>
  <c r="F227" i="6" s="1"/>
  <c r="K227" i="6" s="1"/>
  <c r="D226" i="6"/>
  <c r="F226" i="6" s="1"/>
  <c r="K226" i="6" s="1"/>
  <c r="D225" i="6"/>
  <c r="F225" i="6" s="1"/>
  <c r="K225" i="6" s="1"/>
  <c r="E224" i="6"/>
  <c r="D224" i="6"/>
  <c r="G223" i="6"/>
  <c r="D223" i="6"/>
  <c r="D221" i="6"/>
  <c r="F221" i="6" s="1"/>
  <c r="K221" i="6" s="1"/>
  <c r="D220" i="6"/>
  <c r="F220" i="6" s="1"/>
  <c r="K220" i="6" s="1"/>
  <c r="E219" i="6"/>
  <c r="D219" i="6"/>
  <c r="D217" i="6"/>
  <c r="J217" i="6" s="1"/>
  <c r="K217" i="6" s="1"/>
  <c r="D216" i="6"/>
  <c r="H216" i="6" s="1"/>
  <c r="K216" i="6" s="1"/>
  <c r="E212" i="6"/>
  <c r="D208" i="6"/>
  <c r="D212" i="6" s="1"/>
  <c r="D207" i="6"/>
  <c r="F207" i="6" s="1"/>
  <c r="K207" i="6" s="1"/>
  <c r="D206" i="6"/>
  <c r="F206" i="6" s="1"/>
  <c r="K206" i="6" s="1"/>
  <c r="D205" i="6"/>
  <c r="F205" i="6" s="1"/>
  <c r="K205" i="6" s="1"/>
  <c r="D203" i="6"/>
  <c r="J203" i="6" s="1"/>
  <c r="K203" i="6" s="1"/>
  <c r="G202" i="6"/>
  <c r="D202" i="6"/>
  <c r="E199" i="6"/>
  <c r="D195" i="6"/>
  <c r="D197" i="6" s="1"/>
  <c r="J197" i="6" s="1"/>
  <c r="K197" i="6" s="1"/>
  <c r="D194" i="6"/>
  <c r="F194" i="6" s="1"/>
  <c r="K194" i="6" s="1"/>
  <c r="E193" i="6"/>
  <c r="D193" i="6"/>
  <c r="D191" i="6"/>
  <c r="J191" i="6" s="1"/>
  <c r="K191" i="6" s="1"/>
  <c r="D190" i="6"/>
  <c r="E187" i="6"/>
  <c r="G184" i="6"/>
  <c r="G190" i="6" s="1"/>
  <c r="D183" i="6"/>
  <c r="D188" i="6" s="1"/>
  <c r="F188" i="6" s="1"/>
  <c r="K188" i="6" s="1"/>
  <c r="E173" i="6"/>
  <c r="E180" i="6" s="1"/>
  <c r="G169" i="6"/>
  <c r="E166" i="6"/>
  <c r="E165" i="6"/>
  <c r="G164" i="6"/>
  <c r="E164" i="6"/>
  <c r="G160" i="6"/>
  <c r="E156" i="6"/>
  <c r="G153" i="6"/>
  <c r="G177" i="6" s="1"/>
  <c r="D152" i="6"/>
  <c r="D156" i="6" s="1"/>
  <c r="D151" i="6"/>
  <c r="F151" i="6" s="1"/>
  <c r="K151" i="6" s="1"/>
  <c r="D150" i="6"/>
  <c r="F150" i="6" s="1"/>
  <c r="K150" i="6" s="1"/>
  <c r="E149" i="6"/>
  <c r="E172" i="6" s="1"/>
  <c r="D149" i="6"/>
  <c r="D147" i="6"/>
  <c r="J147" i="6" s="1"/>
  <c r="K147" i="6" s="1"/>
  <c r="G146" i="6"/>
  <c r="D146" i="6"/>
  <c r="I142" i="6"/>
  <c r="J142" i="6" s="1"/>
  <c r="K142" i="6" s="1"/>
  <c r="D141" i="6"/>
  <c r="D144" i="6" s="1"/>
  <c r="G137" i="6"/>
  <c r="G141" i="6" s="1"/>
  <c r="D137" i="6"/>
  <c r="D139" i="6" s="1"/>
  <c r="F139" i="6" s="1"/>
  <c r="K139" i="6" s="1"/>
  <c r="C133" i="6"/>
  <c r="C130" i="6"/>
  <c r="D129" i="6"/>
  <c r="D135" i="6" s="1"/>
  <c r="F135" i="6" s="1"/>
  <c r="K135" i="6" s="1"/>
  <c r="D128" i="6"/>
  <c r="F128" i="6" s="1"/>
  <c r="K128" i="6" s="1"/>
  <c r="D127" i="6"/>
  <c r="F127" i="6" s="1"/>
  <c r="K127" i="6" s="1"/>
  <c r="E126" i="6"/>
  <c r="E133" i="6" s="1"/>
  <c r="D126" i="6"/>
  <c r="C126" i="6"/>
  <c r="D124" i="6"/>
  <c r="J124" i="6" s="1"/>
  <c r="K124" i="6" s="1"/>
  <c r="G123" i="6"/>
  <c r="D123" i="6"/>
  <c r="C123" i="6"/>
  <c r="D121" i="6"/>
  <c r="F121" i="6" s="1"/>
  <c r="K121" i="6" s="1"/>
  <c r="E120" i="6"/>
  <c r="D120" i="6"/>
  <c r="D119" i="6"/>
  <c r="C119" i="6"/>
  <c r="D117" i="6"/>
  <c r="J117" i="6" s="1"/>
  <c r="K117" i="6" s="1"/>
  <c r="G116" i="6"/>
  <c r="D116" i="6"/>
  <c r="C116" i="6"/>
  <c r="C120" i="6" s="1"/>
  <c r="D114" i="6"/>
  <c r="F114" i="6" s="1"/>
  <c r="K114" i="6" s="1"/>
  <c r="D113" i="6"/>
  <c r="D112" i="6"/>
  <c r="C112" i="6"/>
  <c r="D110" i="6"/>
  <c r="J110" i="6" s="1"/>
  <c r="K110" i="6" s="1"/>
  <c r="G109" i="6"/>
  <c r="G235" i="6" s="1"/>
  <c r="D109" i="6"/>
  <c r="C109" i="6"/>
  <c r="D107" i="6"/>
  <c r="F107" i="6" s="1"/>
  <c r="K107" i="6" s="1"/>
  <c r="D106" i="6"/>
  <c r="D105" i="6"/>
  <c r="C105" i="6"/>
  <c r="D103" i="6"/>
  <c r="J103" i="6" s="1"/>
  <c r="K103" i="6" s="1"/>
  <c r="G102" i="6"/>
  <c r="D102" i="6"/>
  <c r="C102" i="6"/>
  <c r="D100" i="6"/>
  <c r="F100" i="6" s="1"/>
  <c r="K100" i="6" s="1"/>
  <c r="D99" i="6"/>
  <c r="E98" i="6"/>
  <c r="E105" i="6" s="1"/>
  <c r="D98" i="6"/>
  <c r="C98" i="6"/>
  <c r="D96" i="6"/>
  <c r="J96" i="6" s="1"/>
  <c r="K96" i="6" s="1"/>
  <c r="G95" i="6"/>
  <c r="D95" i="6"/>
  <c r="C95" i="6"/>
  <c r="D93" i="6"/>
  <c r="F93" i="6" s="1"/>
  <c r="K93" i="6" s="1"/>
  <c r="E92" i="6"/>
  <c r="E99" i="6" s="1"/>
  <c r="E91" i="6"/>
  <c r="D91" i="6"/>
  <c r="C91" i="6"/>
  <c r="D89" i="6"/>
  <c r="J89" i="6" s="1"/>
  <c r="K89" i="6" s="1"/>
  <c r="G88" i="6"/>
  <c r="D88" i="6"/>
  <c r="C88" i="6"/>
  <c r="D92" i="6"/>
  <c r="D86" i="6"/>
  <c r="F86" i="6" s="1"/>
  <c r="K86" i="6" s="1"/>
  <c r="G85" i="6"/>
  <c r="E85" i="6"/>
  <c r="D85" i="6"/>
  <c r="D84" i="6"/>
  <c r="F84" i="6" s="1"/>
  <c r="K84" i="6" s="1"/>
  <c r="K83" i="6"/>
  <c r="D82" i="6"/>
  <c r="J82" i="6" s="1"/>
  <c r="K82" i="6" s="1"/>
  <c r="G81" i="6"/>
  <c r="D81" i="6"/>
  <c r="E78" i="6"/>
  <c r="E77" i="6"/>
  <c r="E76" i="6"/>
  <c r="E75" i="6"/>
  <c r="E74" i="6"/>
  <c r="E73" i="6"/>
  <c r="E72" i="6"/>
  <c r="G69" i="6"/>
  <c r="D68" i="6"/>
  <c r="D77" i="6" s="1"/>
  <c r="D67" i="6"/>
  <c r="F67" i="6" s="1"/>
  <c r="K67" i="6" s="1"/>
  <c r="E66" i="6"/>
  <c r="D66" i="6"/>
  <c r="D65" i="6"/>
  <c r="F65" i="6" s="1"/>
  <c r="K65" i="6" s="1"/>
  <c r="K64" i="6"/>
  <c r="D63" i="6"/>
  <c r="J63" i="6" s="1"/>
  <c r="K63" i="6" s="1"/>
  <c r="G62" i="6"/>
  <c r="D62" i="6"/>
  <c r="D69" i="6" s="1"/>
  <c r="K61" i="6"/>
  <c r="D60" i="6"/>
  <c r="F60" i="6" s="1"/>
  <c r="K60" i="6" s="1"/>
  <c r="D59" i="6"/>
  <c r="F59" i="6" s="1"/>
  <c r="K59" i="6" s="1"/>
  <c r="E58" i="6"/>
  <c r="D58" i="6"/>
  <c r="K57" i="6"/>
  <c r="D56" i="6"/>
  <c r="J56" i="6" s="1"/>
  <c r="K56" i="6" s="1"/>
  <c r="D55" i="6"/>
  <c r="H55" i="6" s="1"/>
  <c r="K55" i="6" s="1"/>
  <c r="D53" i="6"/>
  <c r="F53" i="6" s="1"/>
  <c r="K53" i="6" s="1"/>
  <c r="E52" i="6"/>
  <c r="D52" i="6"/>
  <c r="E51" i="6"/>
  <c r="F51" i="6" s="1"/>
  <c r="K51" i="6" s="1"/>
  <c r="D51" i="6"/>
  <c r="E50" i="6"/>
  <c r="D50" i="6"/>
  <c r="D48" i="6"/>
  <c r="J48" i="6" s="1"/>
  <c r="K48" i="6" s="1"/>
  <c r="G47" i="6"/>
  <c r="D47" i="6"/>
  <c r="D45" i="6"/>
  <c r="F45" i="6" s="1"/>
  <c r="K45" i="6" s="1"/>
  <c r="E44" i="6"/>
  <c r="D44" i="6"/>
  <c r="D43" i="6"/>
  <c r="D42" i="6"/>
  <c r="D41" i="6"/>
  <c r="D39" i="6"/>
  <c r="J39" i="6" s="1"/>
  <c r="K39" i="6" s="1"/>
  <c r="G38" i="6"/>
  <c r="D38" i="6"/>
  <c r="D36" i="6"/>
  <c r="F36" i="6" s="1"/>
  <c r="K36" i="6" s="1"/>
  <c r="D35" i="6"/>
  <c r="F35" i="6" s="1"/>
  <c r="K35" i="6" s="1"/>
  <c r="E34" i="6"/>
  <c r="D34" i="6"/>
  <c r="D32" i="6"/>
  <c r="J32" i="6" s="1"/>
  <c r="K32" i="6" s="1"/>
  <c r="D31" i="6"/>
  <c r="H31" i="6" s="1"/>
  <c r="K31" i="6" s="1"/>
  <c r="D29" i="6"/>
  <c r="F29" i="6" s="1"/>
  <c r="K29" i="6" s="1"/>
  <c r="E28" i="6"/>
  <c r="D28" i="6"/>
  <c r="E27" i="6"/>
  <c r="D27" i="6"/>
  <c r="E26" i="6"/>
  <c r="D26" i="6"/>
  <c r="E25" i="6"/>
  <c r="E41" i="6" s="1"/>
  <c r="D25" i="6"/>
  <c r="D23" i="6"/>
  <c r="J23" i="6" s="1"/>
  <c r="K23" i="6" s="1"/>
  <c r="G22" i="6"/>
  <c r="D22" i="6"/>
  <c r="A21" i="6"/>
  <c r="A30" i="6" s="1"/>
  <c r="A37" i="6" s="1"/>
  <c r="A46" i="6" s="1"/>
  <c r="A54" i="6" s="1"/>
  <c r="A61" i="6" s="1"/>
  <c r="A68" i="6" s="1"/>
  <c r="A80" i="6" s="1"/>
  <c r="D20" i="6"/>
  <c r="F20" i="6" s="1"/>
  <c r="K20" i="6" s="1"/>
  <c r="E19" i="6"/>
  <c r="D19" i="6"/>
  <c r="E18" i="6"/>
  <c r="D18" i="6"/>
  <c r="E17" i="6"/>
  <c r="D17" i="6"/>
  <c r="D15" i="6"/>
  <c r="J15" i="6" s="1"/>
  <c r="K15" i="6" s="1"/>
  <c r="G14" i="6"/>
  <c r="D14" i="6"/>
  <c r="H88" i="6" l="1"/>
  <c r="K88" i="6" s="1"/>
  <c r="F219" i="6"/>
  <c r="K219" i="6" s="1"/>
  <c r="H282" i="6"/>
  <c r="K282" i="6" s="1"/>
  <c r="H300" i="6"/>
  <c r="K300" i="6" s="1"/>
  <c r="F50" i="6"/>
  <c r="K50" i="6" s="1"/>
  <c r="I203" i="8"/>
  <c r="I204" i="8" s="1"/>
  <c r="H95" i="6"/>
  <c r="K95" i="6" s="1"/>
  <c r="F193" i="6"/>
  <c r="K193" i="6" s="1"/>
  <c r="F41" i="6"/>
  <c r="K41" i="6" s="1"/>
  <c r="F85" i="6"/>
  <c r="H102" i="6"/>
  <c r="K102" i="6" s="1"/>
  <c r="H85" i="6"/>
  <c r="K85" i="6" s="1"/>
  <c r="F126" i="6"/>
  <c r="K126" i="6" s="1"/>
  <c r="F18" i="6"/>
  <c r="K18" i="6" s="1"/>
  <c r="D70" i="6"/>
  <c r="J70" i="6" s="1"/>
  <c r="K70" i="6" s="1"/>
  <c r="H146" i="6"/>
  <c r="K146" i="6" s="1"/>
  <c r="F257" i="6"/>
  <c r="K257" i="6" s="1"/>
  <c r="H62" i="6"/>
  <c r="K62" i="6" s="1"/>
  <c r="F17" i="6"/>
  <c r="H22" i="6"/>
  <c r="K22" i="6" s="1"/>
  <c r="D199" i="6"/>
  <c r="F199" i="6" s="1"/>
  <c r="K199" i="6" s="1"/>
  <c r="H266" i="6"/>
  <c r="K266" i="6" s="1"/>
  <c r="D296" i="6"/>
  <c r="F296" i="6" s="1"/>
  <c r="K296" i="6" s="1"/>
  <c r="F26" i="6"/>
  <c r="K26" i="6" s="1"/>
  <c r="F28" i="6"/>
  <c r="K28" i="6" s="1"/>
  <c r="F58" i="6"/>
  <c r="K58" i="6" s="1"/>
  <c r="H109" i="6"/>
  <c r="K109" i="6" s="1"/>
  <c r="H116" i="6"/>
  <c r="K116" i="6" s="1"/>
  <c r="D131" i="6"/>
  <c r="J131" i="6" s="1"/>
  <c r="K131" i="6" s="1"/>
  <c r="D184" i="6"/>
  <c r="H184" i="6" s="1"/>
  <c r="K184" i="6" s="1"/>
  <c r="H223" i="6"/>
  <c r="K223" i="6" s="1"/>
  <c r="F303" i="6"/>
  <c r="K303" i="6" s="1"/>
  <c r="H202" i="6"/>
  <c r="K202" i="6" s="1"/>
  <c r="F224" i="6"/>
  <c r="K224" i="6" s="1"/>
  <c r="F284" i="6"/>
  <c r="K284" i="6" s="1"/>
  <c r="H254" i="6"/>
  <c r="K254" i="6" s="1"/>
  <c r="F19" i="6"/>
  <c r="K19" i="6" s="1"/>
  <c r="F27" i="6"/>
  <c r="K27" i="6" s="1"/>
  <c r="F34" i="6"/>
  <c r="K34" i="6" s="1"/>
  <c r="D185" i="6"/>
  <c r="J185" i="6" s="1"/>
  <c r="K185" i="6" s="1"/>
  <c r="F66" i="6"/>
  <c r="K66" i="6" s="1"/>
  <c r="H47" i="6"/>
  <c r="K47" i="6" s="1"/>
  <c r="F280" i="6"/>
  <c r="K280" i="6" s="1"/>
  <c r="F120" i="6"/>
  <c r="K120" i="6" s="1"/>
  <c r="D153" i="6"/>
  <c r="H153" i="6" s="1"/>
  <c r="K153" i="6" s="1"/>
  <c r="H14" i="6"/>
  <c r="K14" i="6" s="1"/>
  <c r="D133" i="6"/>
  <c r="F133" i="6" s="1"/>
  <c r="K133" i="6" s="1"/>
  <c r="D297" i="6"/>
  <c r="F297" i="6" s="1"/>
  <c r="K297" i="6" s="1"/>
  <c r="E42" i="6"/>
  <c r="F42" i="6" s="1"/>
  <c r="K42" i="6" s="1"/>
  <c r="F77" i="6"/>
  <c r="K77" i="6" s="1"/>
  <c r="F92" i="6"/>
  <c r="K92" i="6" s="1"/>
  <c r="F91" i="6"/>
  <c r="K91" i="6" s="1"/>
  <c r="H141" i="6"/>
  <c r="K141" i="6" s="1"/>
  <c r="F149" i="6"/>
  <c r="K149" i="6" s="1"/>
  <c r="D154" i="6"/>
  <c r="J154" i="6" s="1"/>
  <c r="K154" i="6" s="1"/>
  <c r="F276" i="6"/>
  <c r="K276" i="6" s="1"/>
  <c r="F292" i="6"/>
  <c r="K292" i="6" s="1"/>
  <c r="D298" i="6"/>
  <c r="F298" i="6" s="1"/>
  <c r="K298" i="6" s="1"/>
  <c r="F156" i="6"/>
  <c r="K156" i="6" s="1"/>
  <c r="F268" i="6"/>
  <c r="K268" i="6" s="1"/>
  <c r="F52" i="6"/>
  <c r="K52" i="6" s="1"/>
  <c r="H123" i="6"/>
  <c r="K123" i="6" s="1"/>
  <c r="D158" i="6"/>
  <c r="F158" i="6" s="1"/>
  <c r="K158" i="6" s="1"/>
  <c r="H38" i="6"/>
  <c r="K38" i="6" s="1"/>
  <c r="F44" i="6"/>
  <c r="K44" i="6" s="1"/>
  <c r="H81" i="6"/>
  <c r="K81" i="6" s="1"/>
  <c r="F98" i="6"/>
  <c r="K98" i="6" s="1"/>
  <c r="D213" i="6"/>
  <c r="F213" i="6" s="1"/>
  <c r="K213" i="6" s="1"/>
  <c r="D251" i="6"/>
  <c r="F251" i="6" s="1"/>
  <c r="K251" i="6" s="1"/>
  <c r="G270" i="6"/>
  <c r="H294" i="6"/>
  <c r="K294" i="6" s="1"/>
  <c r="I53" i="11"/>
  <c r="I54" i="11" s="1"/>
  <c r="I93" i="10"/>
  <c r="I94" i="10" s="1"/>
  <c r="F144" i="6"/>
  <c r="K144" i="6" s="1"/>
  <c r="G260" i="6"/>
  <c r="F212" i="6"/>
  <c r="K212" i="6" s="1"/>
  <c r="E112" i="6"/>
  <c r="F112" i="6" s="1"/>
  <c r="K112" i="6" s="1"/>
  <c r="F105" i="6"/>
  <c r="K105" i="6" s="1"/>
  <c r="F272" i="6"/>
  <c r="K272" i="6" s="1"/>
  <c r="G196" i="6"/>
  <c r="H190" i="6"/>
  <c r="K190" i="6" s="1"/>
  <c r="F99" i="6"/>
  <c r="K99" i="6" s="1"/>
  <c r="E106" i="6"/>
  <c r="F238" i="6"/>
  <c r="K238" i="6" s="1"/>
  <c r="E290" i="6"/>
  <c r="F290" i="6" s="1"/>
  <c r="K290" i="6" s="1"/>
  <c r="H242" i="6"/>
  <c r="K242" i="6" s="1"/>
  <c r="K17" i="6"/>
  <c r="G287" i="6"/>
  <c r="H287" i="6" s="1"/>
  <c r="K287" i="6" s="1"/>
  <c r="H235" i="6"/>
  <c r="K235" i="6" s="1"/>
  <c r="F263" i="6"/>
  <c r="K263" i="6" s="1"/>
  <c r="H69" i="6"/>
  <c r="K69" i="6" s="1"/>
  <c r="A136" i="6"/>
  <c r="A140" i="6" s="1"/>
  <c r="A145" i="6" s="1"/>
  <c r="A152" i="6" s="1"/>
  <c r="A159" i="6" s="1"/>
  <c r="A168" i="6" s="1"/>
  <c r="A176" i="6" s="1"/>
  <c r="A183" i="6" s="1"/>
  <c r="A189" i="6" s="1"/>
  <c r="A87" i="6"/>
  <c r="A94" i="6" s="1"/>
  <c r="A101" i="6" s="1"/>
  <c r="A108" i="6" s="1"/>
  <c r="K309" i="6"/>
  <c r="F25" i="6"/>
  <c r="K25" i="6" s="1"/>
  <c r="D260" i="6"/>
  <c r="H137" i="6"/>
  <c r="K137" i="6" s="1"/>
  <c r="D209" i="6"/>
  <c r="H209" i="6" s="1"/>
  <c r="K209" i="6" s="1"/>
  <c r="D72" i="6"/>
  <c r="F72" i="6" s="1"/>
  <c r="K72" i="6" s="1"/>
  <c r="D75" i="6"/>
  <c r="F75" i="6" s="1"/>
  <c r="K75" i="6" s="1"/>
  <c r="D78" i="6"/>
  <c r="F78" i="6" s="1"/>
  <c r="K78" i="6" s="1"/>
  <c r="D157" i="6"/>
  <c r="F157" i="6" s="1"/>
  <c r="K157" i="6" s="1"/>
  <c r="D214" i="6"/>
  <c r="F214" i="6" s="1"/>
  <c r="K214" i="6" s="1"/>
  <c r="D243" i="6"/>
  <c r="J243" i="6" s="1"/>
  <c r="K243" i="6" s="1"/>
  <c r="E43" i="6"/>
  <c r="F43" i="6" s="1"/>
  <c r="K43" i="6" s="1"/>
  <c r="D200" i="6"/>
  <c r="F200" i="6" s="1"/>
  <c r="K200" i="6" s="1"/>
  <c r="D248" i="6"/>
  <c r="H248" i="6" s="1"/>
  <c r="K248" i="6" s="1"/>
  <c r="D252" i="6"/>
  <c r="F252" i="6" s="1"/>
  <c r="K252" i="6" s="1"/>
  <c r="D130" i="6"/>
  <c r="D134" i="6"/>
  <c r="F134" i="6" s="1"/>
  <c r="K134" i="6" s="1"/>
  <c r="D187" i="6"/>
  <c r="F187" i="6" s="1"/>
  <c r="K187" i="6" s="1"/>
  <c r="D196" i="6"/>
  <c r="D210" i="6"/>
  <c r="J210" i="6" s="1"/>
  <c r="K210" i="6" s="1"/>
  <c r="D261" i="6"/>
  <c r="J261" i="6" s="1"/>
  <c r="K261" i="6" s="1"/>
  <c r="D264" i="6"/>
  <c r="F264" i="6" s="1"/>
  <c r="K264" i="6" s="1"/>
  <c r="G130" i="6"/>
  <c r="D73" i="6"/>
  <c r="F73" i="6" s="1"/>
  <c r="K73" i="6" s="1"/>
  <c r="D76" i="6"/>
  <c r="F76" i="6" s="1"/>
  <c r="K76" i="6" s="1"/>
  <c r="D79" i="6"/>
  <c r="F79" i="6" s="1"/>
  <c r="K79" i="6" s="1"/>
  <c r="D245" i="6"/>
  <c r="F245" i="6" s="1"/>
  <c r="K245" i="6" s="1"/>
  <c r="F119" i="6"/>
  <c r="K119" i="6" s="1"/>
  <c r="D159" i="6"/>
  <c r="D246" i="6"/>
  <c r="F246" i="6" s="1"/>
  <c r="K246" i="6" s="1"/>
  <c r="D74" i="6"/>
  <c r="F74" i="6" s="1"/>
  <c r="K74" i="6" s="1"/>
  <c r="I205" i="8" l="1"/>
  <c r="I206" i="8" s="1"/>
  <c r="I207" i="8" s="1"/>
  <c r="I208" i="8" s="1"/>
  <c r="I209" i="8" s="1"/>
  <c r="H196" i="6"/>
  <c r="K196" i="6" s="1"/>
  <c r="H270" i="6"/>
  <c r="K270" i="6" s="1"/>
  <c r="G274" i="6"/>
  <c r="H130" i="6"/>
  <c r="K130" i="6" s="1"/>
  <c r="I55" i="11"/>
  <c r="I56" i="11" s="1"/>
  <c r="I95" i="10"/>
  <c r="I96" i="10" s="1"/>
  <c r="H260" i="6"/>
  <c r="K260" i="6" s="1"/>
  <c r="F106" i="6"/>
  <c r="K106" i="6" s="1"/>
  <c r="E113" i="6"/>
  <c r="A201" i="6"/>
  <c r="A208" i="6" s="1"/>
  <c r="A215" i="6" s="1"/>
  <c r="A222" i="6" s="1"/>
  <c r="A234" i="6" s="1"/>
  <c r="A195" i="6"/>
  <c r="A115" i="6"/>
  <c r="A122" i="6"/>
  <c r="A129" i="6" s="1"/>
  <c r="D167" i="6"/>
  <c r="F167" i="6" s="1"/>
  <c r="K167" i="6" s="1"/>
  <c r="D160" i="6"/>
  <c r="D164" i="6"/>
  <c r="D163" i="6"/>
  <c r="F163" i="6" s="1"/>
  <c r="K163" i="6" s="1"/>
  <c r="D168" i="6"/>
  <c r="D165" i="6"/>
  <c r="F165" i="6" s="1"/>
  <c r="K165" i="6" s="1"/>
  <c r="D161" i="6"/>
  <c r="J161" i="6" s="1"/>
  <c r="G278" i="6" l="1"/>
  <c r="H278" i="6" s="1"/>
  <c r="K278" i="6" s="1"/>
  <c r="H274" i="6"/>
  <c r="K274" i="6" s="1"/>
  <c r="I97" i="10"/>
  <c r="I98" i="10" s="1"/>
  <c r="I57" i="11"/>
  <c r="I58" i="11" s="1"/>
  <c r="I210" i="8"/>
  <c r="I211" i="8" s="1"/>
  <c r="A241" i="6"/>
  <c r="A253" i="6"/>
  <c r="A259" i="6" s="1"/>
  <c r="A265" i="6" s="1"/>
  <c r="A269" i="6" s="1"/>
  <c r="A273" i="6" s="1"/>
  <c r="A277" i="6" s="1"/>
  <c r="A281" i="6" s="1"/>
  <c r="A286" i="6" s="1"/>
  <c r="A293" i="6" s="1"/>
  <c r="A299" i="6" s="1"/>
  <c r="A305" i="6" s="1"/>
  <c r="A247" i="6"/>
  <c r="K161" i="6"/>
  <c r="F113" i="6"/>
  <c r="K113" i="6" s="1"/>
  <c r="E239" i="6"/>
  <c r="D172" i="6"/>
  <c r="F172" i="6" s="1"/>
  <c r="K172" i="6" s="1"/>
  <c r="D175" i="6"/>
  <c r="F175" i="6" s="1"/>
  <c r="K175" i="6" s="1"/>
  <c r="D170" i="6"/>
  <c r="J170" i="6" s="1"/>
  <c r="K170" i="6" s="1"/>
  <c r="D174" i="6"/>
  <c r="F174" i="6" s="1"/>
  <c r="K174" i="6" s="1"/>
  <c r="D169" i="6"/>
  <c r="D176" i="6"/>
  <c r="F164" i="6"/>
  <c r="H164" i="6"/>
  <c r="D166" i="6"/>
  <c r="F166" i="6" s="1"/>
  <c r="K166" i="6" s="1"/>
  <c r="H160" i="6"/>
  <c r="C11" i="15" l="1"/>
  <c r="K164" i="6"/>
  <c r="D180" i="6"/>
  <c r="F180" i="6" s="1"/>
  <c r="K180" i="6" s="1"/>
  <c r="D178" i="6"/>
  <c r="J178" i="6" s="1"/>
  <c r="K178" i="6" s="1"/>
  <c r="D182" i="6"/>
  <c r="F182" i="6" s="1"/>
  <c r="K182" i="6" s="1"/>
  <c r="D177" i="6"/>
  <c r="H177" i="6" s="1"/>
  <c r="K177" i="6" s="1"/>
  <c r="D181" i="6"/>
  <c r="F181" i="6" s="1"/>
  <c r="K181" i="6" s="1"/>
  <c r="H169" i="6"/>
  <c r="K169" i="6" s="1"/>
  <c r="D173" i="6"/>
  <c r="F173" i="6" s="1"/>
  <c r="K173" i="6" s="1"/>
  <c r="E291" i="6"/>
  <c r="F291" i="6" s="1"/>
  <c r="K291" i="6" s="1"/>
  <c r="E285" i="6"/>
  <c r="F285" i="6" s="1"/>
  <c r="K285" i="6" s="1"/>
  <c r="F239" i="6"/>
  <c r="K239" i="6" s="1"/>
  <c r="K160" i="6"/>
  <c r="H310" i="6" l="1"/>
  <c r="J310" i="6"/>
  <c r="K310" i="6"/>
  <c r="F310" i="6"/>
  <c r="K311" i="6" s="1"/>
  <c r="K312" i="6" l="1"/>
  <c r="K313" i="6" s="1"/>
  <c r="K314" i="6" s="1"/>
  <c r="K315" i="6" s="1"/>
  <c r="K316" i="6" s="1"/>
  <c r="K317" i="6" s="1"/>
  <c r="K318" i="6" s="1"/>
  <c r="K319" i="6" l="1"/>
  <c r="K320" i="6" s="1"/>
  <c r="K321" i="6" l="1"/>
  <c r="K322" i="6" s="1"/>
  <c r="H328" i="6" l="1"/>
  <c r="H329" i="6" s="1"/>
</calcChain>
</file>

<file path=xl/sharedStrings.xml><?xml version="1.0" encoding="utf-8"?>
<sst xmlns="http://schemas.openxmlformats.org/spreadsheetml/2006/main" count="2099" uniqueCount="578">
  <si>
    <t>პოლიტკოვსკაიას (ჯიქიას ) #40-ში სტუდენტური საერთო საცხოვრებელის მშენებლობა</t>
  </si>
  <si>
    <t>საორიენტაციო ხარჯთაღრიცხვა</t>
  </si>
  <si>
    <t>სახარჯთ. ღირებულება</t>
  </si>
  <si>
    <t>#</t>
  </si>
  <si>
    <t>ganz.</t>
  </si>
  <si>
    <t>masala</t>
  </si>
  <si>
    <t>xelfasi</t>
  </si>
  <si>
    <t xml:space="preserve">manqana meqanizmebi </t>
  </si>
  <si>
    <t>jami</t>
  </si>
  <si>
    <t>samuSaoTa dasaxeleba</t>
  </si>
  <si>
    <t>sul</t>
  </si>
  <si>
    <t>erT.</t>
  </si>
  <si>
    <t>fasi</t>
  </si>
  <si>
    <r>
      <t>მ</t>
    </r>
    <r>
      <rPr>
        <b/>
        <sz val="10"/>
        <rFont val="Calibri"/>
        <family val="2"/>
      </rPr>
      <t>²</t>
    </r>
  </si>
  <si>
    <t>შრომის დანახარჯები</t>
  </si>
  <si>
    <r>
      <t>მ</t>
    </r>
    <r>
      <rPr>
        <sz val="10"/>
        <rFont val="Calibri"/>
        <family val="2"/>
      </rPr>
      <t>²</t>
    </r>
  </si>
  <si>
    <t>სხვა მანქანა</t>
  </si>
  <si>
    <t>ლარი</t>
  </si>
  <si>
    <t>მასალა:</t>
  </si>
  <si>
    <t>კგ</t>
  </si>
  <si>
    <t>მონოლითური რკ/ბ ზღუდარების მოწყობა კარ-ფანჯრის თავზე</t>
  </si>
  <si>
    <t>მ³</t>
  </si>
  <si>
    <t>ბეტონი B25 კ-1.02</t>
  </si>
  <si>
    <t>არმატურა A240C Ø8</t>
  </si>
  <si>
    <t>ტ</t>
  </si>
  <si>
    <t>საყალიბე მასალა</t>
  </si>
  <si>
    <t>სხვა მასალა</t>
  </si>
  <si>
    <t>მონოლითური რკ/ბ გულარების მოწყობა პარაპეტისთვის</t>
  </si>
  <si>
    <t>არმატურა A500CØ12≤</t>
  </si>
  <si>
    <t>პარაპეტის მოწყობა მცირე ზომის ბეტონის ბლოკებით</t>
  </si>
  <si>
    <t>ბეტონის ბლოკი 20*20*40</t>
  </si>
  <si>
    <t>ცალი</t>
  </si>
  <si>
    <t>ქვიშა ცემენტის ხსნარი</t>
  </si>
  <si>
    <t>მონოლითური რკ/ბ სარტყელის მოწყობა პარაპეტზე</t>
  </si>
  <si>
    <t>პარაპეტის შეფუთვა ფერადი თუნუქით</t>
  </si>
  <si>
    <t>ფერადი თუნუქი</t>
  </si>
  <si>
    <t>ლურსმანი ბურულის</t>
  </si>
  <si>
    <t>ფასადის კედლების შელესვა ქვიშა-ცემენტის ხსნარით ლითონის ბადეზე</t>
  </si>
  <si>
    <t xml:space="preserve">ქვიშა-ცემენტის ხსნარი  </t>
  </si>
  <si>
    <t>არმატურის ბადე</t>
  </si>
  <si>
    <t>კერამიკული ფილა</t>
  </si>
  <si>
    <t>იატაკის მოჭიმვის მოწყობა ქვიშა- ცემენტის ხსნარით</t>
  </si>
  <si>
    <t>ქვიშა-ცემენტის ხსნარი</t>
  </si>
  <si>
    <t>გამათანაბრებელი ფენის მოწყობა პემზით</t>
  </si>
  <si>
    <t>მეტალო-პლასტმასის ფანჯრების მოწყობა</t>
  </si>
  <si>
    <t>მეტალო პლასტმასის ფანჯარა</t>
  </si>
  <si>
    <t>ალუმინის ვიტრაჟების მოწყობა</t>
  </si>
  <si>
    <t>ამწე საავტომობილო სვლაზე 5ტ</t>
  </si>
  <si>
    <t>მანქ/დღე</t>
  </si>
  <si>
    <t>ალუმინის ვიტრაჟები</t>
  </si>
  <si>
    <t>ორთქლიზოლაციის მოწყობა ლინოკრომით 1 ფენა</t>
  </si>
  <si>
    <t>ლინოკრომი I ფენა</t>
  </si>
  <si>
    <t>ბითუმის მასტიკა</t>
  </si>
  <si>
    <t>გაზი</t>
  </si>
  <si>
    <t>XPS ფილა</t>
  </si>
  <si>
    <t>დუბელი 150მმ</t>
  </si>
  <si>
    <t>სახურავზე  მოჭიმვის მოწყობა  არმირებული ქვიშა- ცემენტის ხსნარით</t>
  </si>
  <si>
    <t xml:space="preserve">ლითონის ბადე </t>
  </si>
  <si>
    <t>ფიქსატორი</t>
  </si>
  <si>
    <t>ლინოკრომი II ფენა</t>
  </si>
  <si>
    <t>დამცავი ფენის მოწყობა ხრეშიანი საფარით</t>
  </si>
  <si>
    <t>ხრეშიანი საფარი</t>
  </si>
  <si>
    <t>ლითონის მოაჯირის მოწყობა კიბის უჯრედში (ტიპი 1)</t>
  </si>
  <si>
    <t>ლითონის მოაჯირი</t>
  </si>
  <si>
    <t>ლითონის მოაჯირის მოწყობა კიბის უჯრედში (ტიპი 2)</t>
  </si>
  <si>
    <t>მ</t>
  </si>
  <si>
    <t>ლითონის კონსტრუქციების შეღებვა ანტიკოროზიული საღებავით</t>
  </si>
  <si>
    <t>ანტიკოროზიული საღებავი</t>
  </si>
  <si>
    <t>ოლიფა</t>
  </si>
  <si>
    <t>ტიხრების მოწყობა სატიხრე ბლოკით</t>
  </si>
  <si>
    <r>
      <t>მ</t>
    </r>
    <r>
      <rPr>
        <b/>
        <sz val="10"/>
        <color theme="1"/>
        <rFont val="Calibri"/>
        <family val="2"/>
      </rPr>
      <t>³</t>
    </r>
  </si>
  <si>
    <r>
      <t>მ</t>
    </r>
    <r>
      <rPr>
        <sz val="10"/>
        <color theme="1"/>
        <rFont val="Calibri"/>
        <family val="2"/>
      </rPr>
      <t>³</t>
    </r>
  </si>
  <si>
    <t xml:space="preserve">მასალა: </t>
  </si>
  <si>
    <t>ბლოკი 20x20x40</t>
  </si>
  <si>
    <t>შახტების მოწყობა მცირე ზომის ბეტონის ბლოკებით</t>
  </si>
  <si>
    <r>
      <t>მ</t>
    </r>
    <r>
      <rPr>
        <b/>
        <sz val="10"/>
        <color theme="1"/>
        <rFont val="Calibri"/>
        <family val="2"/>
      </rPr>
      <t>²</t>
    </r>
  </si>
  <si>
    <t>შრომის დანახარჯი</t>
  </si>
  <si>
    <t>კერამიკული ფილები</t>
  </si>
  <si>
    <t>წებოცემენტი</t>
  </si>
  <si>
    <t>შეკიდული ჭერის მოწყობა პლასტიკატით (შიდა ტუალეტებში)</t>
  </si>
  <si>
    <t>მ²</t>
  </si>
  <si>
    <t>ჭერის პროფილიCD 60/27</t>
  </si>
  <si>
    <t>გრძ/მ</t>
  </si>
  <si>
    <t>მიმმართველი პროფილი</t>
  </si>
  <si>
    <t>CD პროფილის გადასაბმელი</t>
  </si>
  <si>
    <t>პროფილის შემაერთებელი ერთდონიანი (კრაბი)</t>
  </si>
  <si>
    <t>ანკერ სწრაფსაკიდი CD პროფილისთვის</t>
  </si>
  <si>
    <t>მავთული ყულფით (ან პირდაპირი საკიდი)</t>
  </si>
  <si>
    <t>თვითმჭრელი სჭვალი LN 9</t>
  </si>
  <si>
    <t>თვითმჭრელი სჭვალი TN 25</t>
  </si>
  <si>
    <t xml:space="preserve">გამჭედი დუბელი  K 6/40 </t>
  </si>
  <si>
    <t>წებო ცემენტი</t>
  </si>
  <si>
    <t>კედლების შეფითხვნა</t>
  </si>
  <si>
    <t>ფითხი</t>
  </si>
  <si>
    <t>კედლების შეღებვა წყალემულსიით</t>
  </si>
  <si>
    <t>საღებავი პვა</t>
  </si>
  <si>
    <t>კერამოგრანიტის რაფის მოწყობა</t>
  </si>
  <si>
    <t>კერამო გრანიტის ფილა</t>
  </si>
  <si>
    <t>თუნუქის საცრემლეების მოწყობა</t>
  </si>
  <si>
    <t>სჭვალი</t>
  </si>
  <si>
    <t>პერგოლის გადახურვის მოწყობა ცენტრალურ შესასვლელში</t>
  </si>
  <si>
    <t>პერგოლის გადახურვა</t>
  </si>
  <si>
    <t>ლიფტის მოწყობა (საორიენტაციო)</t>
  </si>
  <si>
    <t>ჯამი</t>
  </si>
  <si>
    <t>სატრანსპორტო ხარჯი მასალიდან</t>
  </si>
  <si>
    <t>უსაფრთხოების ხარჯი</t>
  </si>
  <si>
    <t>ზედნადები ხარჯები</t>
  </si>
  <si>
    <t>გეგმიური დაგროვება</t>
  </si>
  <si>
    <t>დ.ღ.გ</t>
  </si>
  <si>
    <t>კარკასის შევსება მცირე ზომის პემზის ბლოკებით</t>
  </si>
  <si>
    <t>ფასადის კედლების დეკორატიული ლესვა (მიუხენი) და ღებვა</t>
  </si>
  <si>
    <t>ზედაპირის დასამუშავებელი გრუნტი</t>
  </si>
  <si>
    <t>ლ</t>
  </si>
  <si>
    <t>ფასადის სპეციალური სალესის ფითხი</t>
  </si>
  <si>
    <t>კუთხოვანა ბადით</t>
  </si>
  <si>
    <t>მინაბოჭკოვანი ბადე</t>
  </si>
  <si>
    <t>დეკორატიული ბათქაშის გრუნტი</t>
  </si>
  <si>
    <t>დეკორატიული ბათქაში</t>
  </si>
  <si>
    <t>ფასადის საღებავი</t>
  </si>
  <si>
    <t>კერამიკული ფილების მოწყობა დერეფანში</t>
  </si>
  <si>
    <t>კერამიკული ფილების დაგება კიბის უჯრედში</t>
  </si>
  <si>
    <t>კერამიკული ფილების დაგება სველ წერტილებში</t>
  </si>
  <si>
    <t>კედლების მოპირკეთება კერამიკული ფილებით ( სველ წერტილებში)</t>
  </si>
  <si>
    <t xml:space="preserve"> კარებების მოწყობა ერთფრთიანი</t>
  </si>
  <si>
    <t xml:space="preserve"> კარებების მოწყობა ორფრთიანი</t>
  </si>
  <si>
    <t>კიბის უჯრედში ცეცხლმედეგი კარებების მოწყობა</t>
  </si>
  <si>
    <t>კარი ერთფრთიანი</t>
  </si>
  <si>
    <t>კარი ორფრთიანი</t>
  </si>
  <si>
    <t>სახანძრო კარი</t>
  </si>
  <si>
    <t>შენობის გარეთ გასასვლელი კარებები</t>
  </si>
  <si>
    <t>გარეთ გასასვლელი კარი</t>
  </si>
  <si>
    <t>პლინტუსების მოწყობა</t>
  </si>
  <si>
    <t>გაუთვალისწინებელი ხარჯები</t>
  </si>
  <si>
    <t>კერამიკული ფილების დაგება მანსარდაზე</t>
  </si>
  <si>
    <t>ბაზალტის ფილების მოპირკეთება გარე კიბეზე</t>
  </si>
  <si>
    <t>ლითონის მოაჯირის მოწყობა პანდუსსა და გარე კიბეზე</t>
  </si>
  <si>
    <t>კედელზე ბაზალტის ფილების მოწყობა</t>
  </si>
  <si>
    <t>ლამინატის იატაკის მოწყობა</t>
  </si>
  <si>
    <t>ლამინატის ქვეშსაგები</t>
  </si>
  <si>
    <t>ლამინატი</t>
  </si>
  <si>
    <t>ბლოკი 15x20x40</t>
  </si>
  <si>
    <t>შიდა კედლების ლესვა ქვიშა-ცემენტის ხსნარით</t>
  </si>
  <si>
    <t>პიონერი</t>
  </si>
  <si>
    <t>თვე</t>
  </si>
  <si>
    <t>ამწე</t>
  </si>
  <si>
    <t>დღე</t>
  </si>
  <si>
    <t>დღიური მუშა</t>
  </si>
  <si>
    <t>ხის მასალა</t>
  </si>
  <si>
    <t>პემზის ბლოკი 30*20*40</t>
  </si>
  <si>
    <t>ბაზალტის ფილები</t>
  </si>
  <si>
    <t>თბოიზოლაციის მოწყობა XPS ფილებით სისქით 50მმ</t>
  </si>
  <si>
    <t>ორთქლიზოლაციის მოწყობა ლინოკრომით 2 ფენა</t>
  </si>
  <si>
    <t>პლასტიკატი</t>
  </si>
  <si>
    <t>შიდა კედლების ლესვა გაჯით</t>
  </si>
  <si>
    <t>გაჯი</t>
  </si>
  <si>
    <t>საფასადე ხარაჩოების მოწყობა</t>
  </si>
  <si>
    <t>დამატებული თანხა:</t>
  </si>
  <si>
    <t>* ღირებულება მოცემულია ეროვნულ ვალუტაში</t>
  </si>
  <si>
    <t>დასახელება</t>
  </si>
  <si>
    <t>ღირებულება</t>
  </si>
  <si>
    <t>HVAC</t>
  </si>
  <si>
    <t>ხანძარქრობა</t>
  </si>
  <si>
    <t>ელექტროობა</t>
  </si>
  <si>
    <t>სუსტი დენები</t>
  </si>
  <si>
    <t>სულ ჯამი:</t>
  </si>
  <si>
    <t>განზ.</t>
  </si>
  <si>
    <t>მასალა</t>
  </si>
  <si>
    <t>ხელფასი</t>
  </si>
  <si>
    <t>რაოდ</t>
  </si>
  <si>
    <t>ერთ.</t>
  </si>
  <si>
    <t>სულ</t>
  </si>
  <si>
    <t>ფასი</t>
  </si>
  <si>
    <t>წყალსადენი</t>
  </si>
  <si>
    <t>პოლიპროპილენის მილი PN25 Ø20x3,4</t>
  </si>
  <si>
    <t>პოლიპროპილენის მილი PN25 Ø25x4,2</t>
  </si>
  <si>
    <t>პოლიპროპილენის მილი PN25 Ø32x5,4</t>
  </si>
  <si>
    <t>პოლიპროპილენის მილი PN25 Ø40x6,7</t>
  </si>
  <si>
    <t>პოლიპროპილენის მილი PN25 Ø50x8,3</t>
  </si>
  <si>
    <t>პოლიპროპილენის მილი PN25 Ø63x10,5</t>
  </si>
  <si>
    <t>პოლიპროპილენის მილი PN25 Ø75x12</t>
  </si>
  <si>
    <t>ფოლადის მილი Ø50</t>
  </si>
  <si>
    <t>ვენტილი Ø15</t>
  </si>
  <si>
    <t>ვენტილი Ø20</t>
  </si>
  <si>
    <t>ვენტილი Ø25</t>
  </si>
  <si>
    <t>ვენტილი Ø40</t>
  </si>
  <si>
    <t>საკვალთი Ø50</t>
  </si>
  <si>
    <t>შემრევი საშხაპე ბადით</t>
  </si>
  <si>
    <t>კომპ</t>
  </si>
  <si>
    <t>შემრევი საშხაპე ბადით შშმ-თვის</t>
  </si>
  <si>
    <t>სახანძრო ონკანი Ø50</t>
  </si>
  <si>
    <t>პირსახოცსაშრობი</t>
  </si>
  <si>
    <t>მილსადენის იზოლაცია "თერმაფლექსით" Ø20 l=2 მ</t>
  </si>
  <si>
    <t>მილსადენის იზოლაცია "თერმაფლექსით" Ø32 l=2 მ</t>
  </si>
  <si>
    <t>მილსადენის იზოლაცია "თერმაფლექსით" Ø40 l=2 მ</t>
  </si>
  <si>
    <t>მილსადენის იზოლაცია "თერმაფლექსით" Ø50 l=2 მ</t>
  </si>
  <si>
    <t>მილსადენის იზოლაცია "თერმაფლექსით" Ø63 l=2 მ</t>
  </si>
  <si>
    <t>მილსადენის იზოლაცია "თერმაფლექსით" Ø75 l=2 მ</t>
  </si>
  <si>
    <t>ფოლადის მილების შეღებვა ანტიკოროზიული საღებავით</t>
  </si>
  <si>
    <t>მუხლი Ø20</t>
  </si>
  <si>
    <t>მუხლი Ø25</t>
  </si>
  <si>
    <t>მუხლი Ø40</t>
  </si>
  <si>
    <t>მუხლი Ø63</t>
  </si>
  <si>
    <t>მუხლი Ø75</t>
  </si>
  <si>
    <t>ფოლადის მუხლი Ø50</t>
  </si>
  <si>
    <t>სამკაპი Ø20x20</t>
  </si>
  <si>
    <t>სამკაპი  Ø25x20</t>
  </si>
  <si>
    <t>სამკაპი  Ø40x20</t>
  </si>
  <si>
    <t>სამკაპი  Ø40x25</t>
  </si>
  <si>
    <t>სამკაპი  Ø32x32</t>
  </si>
  <si>
    <t>სამკაპი  Ø50x40</t>
  </si>
  <si>
    <t>სამკაპი  Ø63x50</t>
  </si>
  <si>
    <t>სამკაპი  Ø75x75</t>
  </si>
  <si>
    <t>სამკაპი ფოლადის Ø50x50</t>
  </si>
  <si>
    <t>ჯვარედინი  Ø40x20</t>
  </si>
  <si>
    <t>ჯვარედინი  Ø40x25</t>
  </si>
  <si>
    <t>ჯვარედინი  Ø63x40</t>
  </si>
  <si>
    <t>ჯვარედინი  Ø75x40</t>
  </si>
  <si>
    <t>გადამყვანი Ø25x20</t>
  </si>
  <si>
    <t>გადამყვანი Ø40x20</t>
  </si>
  <si>
    <t>გადამყვანი Ø32x25</t>
  </si>
  <si>
    <t>გადამყვანი Ø40x32</t>
  </si>
  <si>
    <t>გადამყვანი Ø63x32</t>
  </si>
  <si>
    <t>გადამყვანი Ø50x40</t>
  </si>
  <si>
    <t>გადამყვანი Ø75x32</t>
  </si>
  <si>
    <t>გადამყვანი Ø75x63</t>
  </si>
  <si>
    <t>ადაპოტორი Ø50</t>
  </si>
  <si>
    <t>ქურო Ø50</t>
  </si>
  <si>
    <t>სპილენძის მილები  Ø40</t>
  </si>
  <si>
    <t>კანალიზაცია</t>
  </si>
  <si>
    <t>პოლივინილქლორიდის მილი Ø50</t>
  </si>
  <si>
    <t>პოლივინილქლორიდის მილი Ø100</t>
  </si>
  <si>
    <t>პოლივინილქლორიდის მილი Ø150</t>
  </si>
  <si>
    <t>რევიზია Ø100</t>
  </si>
  <si>
    <t>ხელსაბანი შემრევითა და სიფონით</t>
  </si>
  <si>
    <t>ხელსაბანი შემრევითა და სიფონით შშპ-თვის</t>
  </si>
  <si>
    <t>უნიტაზი ჩამრეცხი ავზით</t>
  </si>
  <si>
    <t>უნიტაზი ჩამრეცხი ავზით შშპ-თვის</t>
  </si>
  <si>
    <t xml:space="preserve">პისუარი სიფონით </t>
  </si>
  <si>
    <t>სარეცხელა სიფონით და შემრევით</t>
  </si>
  <si>
    <t>ქვეში სიფონით, შემრევით და საშხაპე ბადით</t>
  </si>
  <si>
    <t>ტრაპი Ø50</t>
  </si>
  <si>
    <t>გამწმენდი Ø100</t>
  </si>
  <si>
    <t>მუხლი Ø50</t>
  </si>
  <si>
    <t>მუხლი Ø100</t>
  </si>
  <si>
    <t>სარინი Ø100</t>
  </si>
  <si>
    <t>სარინი Ø50</t>
  </si>
  <si>
    <t>სამკაპი Ø50x50</t>
  </si>
  <si>
    <t>სამკაპი Ø100x50</t>
  </si>
  <si>
    <t>სამკაპი Ø100x100</t>
  </si>
  <si>
    <t>სამკაპი სწორი გადამყვანით Ø100x50</t>
  </si>
  <si>
    <t>სამკაპი ირიბი Ø100x50</t>
  </si>
  <si>
    <t>სამკაპი ირიბი Ø100x100</t>
  </si>
  <si>
    <t>სამკაპი ირიბი  Ø150x100</t>
  </si>
  <si>
    <t>გადამყვანი  Ø150x100</t>
  </si>
  <si>
    <t>გათბობა-გაგრილება-ვენტილაცია</t>
  </si>
  <si>
    <t>პლატმასის თბოიზოლირებული მილები Ø20x3,5</t>
  </si>
  <si>
    <t>გრძ.მ</t>
  </si>
  <si>
    <t>პლატმასის თბოიზოლირებული მილები Ø25x2,9</t>
  </si>
  <si>
    <t>პლატმასის თბოიზოლირებული მილები Ø32x3,7</t>
  </si>
  <si>
    <t>პლატმასის თბოიზოლირებული მილები Ø40x4,6</t>
  </si>
  <si>
    <t>პლატმასის თბოიზოლირებული მილები Ø50x5,8</t>
  </si>
  <si>
    <t>პლატმასის თბოიზოლირებული მილები Ø63x6,8</t>
  </si>
  <si>
    <t>პლატმასის თბოიზოლირებული მილები Ø75x8,2</t>
  </si>
  <si>
    <t>პლატმასის თბოიზოლირებული მილები Ø90x8,2</t>
  </si>
  <si>
    <t>პლატმასის თბოიზოლირებული მილები Ø100x8,2</t>
  </si>
  <si>
    <t>სითბო სიცივის და გათბობის სისტემის მილსადენები</t>
  </si>
  <si>
    <t>პლატმასის თბოიზოლირებული მილები Ø15x2,8</t>
  </si>
  <si>
    <t>პლატმასის თბოიზოლირებული მილები Ø125x11,4</t>
  </si>
  <si>
    <t>პანელური რადიატორი 400X600 22</t>
  </si>
  <si>
    <t>პანელური რადიატორი 500X600 22</t>
  </si>
  <si>
    <t>პანელური რადიატორი 600X600 22</t>
  </si>
  <si>
    <t>პანელური რადიატორი 700X600 22</t>
  </si>
  <si>
    <t>პანელური რადიატორი 800X600 22</t>
  </si>
  <si>
    <t>პანელური რადიატორი 900X600 22</t>
  </si>
  <si>
    <t>პანელური რადიატორი 1000X600 22</t>
  </si>
  <si>
    <t>პანელური რადიატორი 1100X600 22</t>
  </si>
  <si>
    <t>პანელური რადიატორი 1200X600 22</t>
  </si>
  <si>
    <t>პანელური რადიატორი 1400X600 22</t>
  </si>
  <si>
    <t>ვენტილი გასასვლელი  Ø 15</t>
  </si>
  <si>
    <t>ვენტილი, საბალანსო გასასვლელი   Ø 15</t>
  </si>
  <si>
    <t>სარქველი, საბალანსო გასასვლელი, თერმოსტატიანი თავაკით   Ø 15</t>
  </si>
  <si>
    <t>ელექტრული რადიატორი თბური წარმადობით Q=1.0 kvt, მოხმარებული ელ.ენერგია N=1.0 კვტ, 20/50 ვ/ჰც-1</t>
  </si>
  <si>
    <t>ვენტილაცია</t>
  </si>
  <si>
    <t>მოდინებითი გამწოვი დიფუზორი 225</t>
  </si>
  <si>
    <t>ჰაერსატარი თხელფურცლ. გალვანიზირებული ფოლადისაგან მართკუთხა კვეთით 0,5მმ 150x150</t>
  </si>
  <si>
    <t>ჰაერსატარი თხელფურცლ. გალვანიზირებული ფოლადისაგან მართკუთხა კვეთით 0,5მმ 200x150</t>
  </si>
  <si>
    <t>გ1</t>
  </si>
  <si>
    <t>არხული ვენტილატორი წარმადობით ლ=1100მ3/სთ. პ=400პა, ელძრავით ნ=0.32 კვტ.</t>
  </si>
  <si>
    <t>ჰაერსატარი თხელფურცლ. გალვანიზირებული ფოლადისაგან მართკუთხა კვეთით 0,5მმ 300x200</t>
  </si>
  <si>
    <t>მოქნილი ჰაერსატარი 125</t>
  </si>
  <si>
    <t xml:space="preserve">ცალი </t>
  </si>
  <si>
    <t>გ2</t>
  </si>
  <si>
    <t>არხული ვენტილატორი წარმადობით ლ=240მ3/სთ. პ=300პა, ელძრავით ნ=0.05 კვტ.</t>
  </si>
  <si>
    <t>ჰაერსატარი თხელფურცლ. გალვანიზირებული ფოლადისაგან მართკუთხა კვეთით 0,5მმ 125-იანი</t>
  </si>
  <si>
    <t>ჰაერსატარი თხელფურცლ. გალვანიზირებული ფოლადისაგან მართკუთხა კვეთით 0,5მმ 200x200</t>
  </si>
  <si>
    <t>გ3</t>
  </si>
  <si>
    <t>ჰაერსატარი თხელფურცლ. გალვანიზირებული ფოლადისაგან მართკუთხა კვეთით 0,5მმ 150*150</t>
  </si>
  <si>
    <t>საქვაბე</t>
  </si>
  <si>
    <t>წყალსათბობი ქვაბი სიმძ. 400000კკალ/სთ (465კვტ) დაბალი წნევის გაზის საწვავზე, მართვის პანელით და წნევის ავტომატიკით</t>
  </si>
  <si>
    <t>გაზის საწვავზე მომუშავე სანთურა სიმძ. 365.0-537.0კვტ N=1500ვტ &lt; 0.005მპა</t>
  </si>
  <si>
    <t>მემბრანული გამაფართოებელი ავზი V=400ლ</t>
  </si>
  <si>
    <t>ტევადი წყალგამაცხელებელი V=2000ლ</t>
  </si>
  <si>
    <t>მემბრანული გამაფართოებელი ავზი V=500ლ</t>
  </si>
  <si>
    <r>
      <t>გათბობის და ვენტილაციის სისტემების ქსელის წყლის ტუმბო G=22.2 მ</t>
    </r>
    <r>
      <rPr>
        <sz val="10"/>
        <color theme="1"/>
        <rFont val="Calibri"/>
        <family val="2"/>
        <charset val="204"/>
      </rPr>
      <t>³</t>
    </r>
    <r>
      <rPr>
        <sz val="9"/>
        <color theme="1"/>
        <rFont val="FiraGO"/>
        <family val="2"/>
        <charset val="204"/>
      </rPr>
      <t>/ს H=23 მ.წყ.სვ. N=7.5კვტ (1 მუშა, 1 რეზერვი)</t>
    </r>
  </si>
  <si>
    <r>
      <t>ტუმბო ცხ. წყალმომარაგების G=22.2 მ</t>
    </r>
    <r>
      <rPr>
        <sz val="10"/>
        <color theme="1"/>
        <rFont val="Calibri"/>
        <family val="2"/>
        <charset val="204"/>
      </rPr>
      <t>³</t>
    </r>
    <r>
      <rPr>
        <sz val="9"/>
        <color theme="1"/>
        <rFont val="FiraGO"/>
        <family val="2"/>
        <charset val="204"/>
      </rPr>
      <t>/ს H=23 მ.წყ.სვ. N=7.5კვტ (1 მუშა, 1 რეზერვი)</t>
    </r>
  </si>
  <si>
    <r>
      <t>ცხ. წყლის საცირკულაციო ტუმბო G=22.2 მ</t>
    </r>
    <r>
      <rPr>
        <sz val="10"/>
        <color theme="1"/>
        <rFont val="Calibri"/>
        <family val="2"/>
        <charset val="204"/>
      </rPr>
      <t>³</t>
    </r>
    <r>
      <rPr>
        <sz val="9"/>
        <color theme="1"/>
        <rFont val="FiraGO"/>
        <family val="2"/>
        <charset val="204"/>
      </rPr>
      <t>/ს H=23 მ.წყ.სვ. N=7.5კვტ(1 მუშა, 1 რეზერვი)(1 მუშა, 1 რეზერვი)</t>
    </r>
  </si>
  <si>
    <t>ქიმგაწმენდის ბლოკი G=300ლ/სთ</t>
  </si>
  <si>
    <t>საკვამლე მილი იზოლაციით d=350მმ H=14.0მ</t>
  </si>
  <si>
    <t>დეფლექტორი d=315მმ</t>
  </si>
  <si>
    <t>ფოლადის აირსავალი d=350მმ</t>
  </si>
  <si>
    <t>ლითონის ზედაპირის გაწმენდა და შეღებვა ანტიკოროზიული ლაქით</t>
  </si>
  <si>
    <r>
      <t>მ</t>
    </r>
    <r>
      <rPr>
        <sz val="10"/>
        <color theme="1"/>
        <rFont val="Calibri"/>
        <family val="2"/>
        <charset val="204"/>
      </rPr>
      <t>²</t>
    </r>
  </si>
  <si>
    <t>ფოლგიზოლი</t>
  </si>
  <si>
    <t>გამჭოლი მინერალური მატები ლითონის ბადის შემონაფენით</t>
  </si>
  <si>
    <t>ფოლადის უნაკერო მილი D125</t>
  </si>
  <si>
    <t>ფოლადის უნაკერო მილი D100</t>
  </si>
  <si>
    <t>ფოლადის უნაკერო მილი D80</t>
  </si>
  <si>
    <t>ფოლადის უნაკერო მილი D50</t>
  </si>
  <si>
    <t>ფოლადის წყალაირსადენი მილი D32</t>
  </si>
  <si>
    <t>ფოლადის წყალაირსადენი მილი D25</t>
  </si>
  <si>
    <t>ფოლადის წყალაირსადენი მილი D20</t>
  </si>
  <si>
    <t>ურდული D125</t>
  </si>
  <si>
    <t>ურდული D100</t>
  </si>
  <si>
    <t>ურდული D80</t>
  </si>
  <si>
    <t>ურდული D50</t>
  </si>
  <si>
    <t>ვენტილი D32</t>
  </si>
  <si>
    <t>ვენტილი D25</t>
  </si>
  <si>
    <t>ვენტილი D20</t>
  </si>
  <si>
    <t>უკუსარქველი D100</t>
  </si>
  <si>
    <t>უკუსარქველი D80</t>
  </si>
  <si>
    <t>უკუსარქველი D50</t>
  </si>
  <si>
    <t>უკუსარქველი D32</t>
  </si>
  <si>
    <t>უკუსარქველი D25</t>
  </si>
  <si>
    <t>სამკაპა სარქველი D32</t>
  </si>
  <si>
    <t>ავტომატიზ. ჰაერშემკრები D20</t>
  </si>
  <si>
    <t>ჩამშვები ონკანი D50</t>
  </si>
  <si>
    <t>სატალახე D125</t>
  </si>
  <si>
    <t>დამცავი სარქველი D100</t>
  </si>
  <si>
    <t>დამცავი სარქველი D70</t>
  </si>
  <si>
    <t>ხარჯის რეგულატორი D100</t>
  </si>
  <si>
    <t>ხარჯის რეგულატორი D80</t>
  </si>
  <si>
    <t>თერმომეტრი</t>
  </si>
  <si>
    <t>მანომეტრი</t>
  </si>
  <si>
    <t>სავარცხელა D=150მმ L=1.2მ</t>
  </si>
  <si>
    <t>მილების ანტიკოროზიული დაცვა ორ ფენად</t>
  </si>
  <si>
    <t>მილების და მოწყობილობების სამაგრი დეტალები კუთხოვ N5</t>
  </si>
  <si>
    <t>იზოლაცია D125-თვის</t>
  </si>
  <si>
    <t>იზოლაცია D100-თვის</t>
  </si>
  <si>
    <t>იზოლაცია D80-თვის</t>
  </si>
  <si>
    <t>იზოლაცია D50-თვის</t>
  </si>
  <si>
    <t>იზოლაცია D32-თვის</t>
  </si>
  <si>
    <t>იზოლაცია D25-თვის</t>
  </si>
  <si>
    <t>იზოლაცია D20-თვის</t>
  </si>
  <si>
    <t>ფოლადის მილი D80</t>
  </si>
  <si>
    <t>ფოლადის მილი D32</t>
  </si>
  <si>
    <t>ფოლადის მილი D25</t>
  </si>
  <si>
    <t>ფოლადის მილი D15</t>
  </si>
  <si>
    <t>პოლივინილქორიდის საკანალიზაციო მილი D100</t>
  </si>
  <si>
    <t>პოლივინილქორიდის საკანალიზაციო მილი D50</t>
  </si>
  <si>
    <t>სახანძრო ონკანი</t>
  </si>
  <si>
    <t>ნიჟარა</t>
  </si>
  <si>
    <t>ტრაპი D100</t>
  </si>
  <si>
    <t>ვენტილი D80</t>
  </si>
  <si>
    <t>ვენტილი D15</t>
  </si>
  <si>
    <t>მილების ანტიკოროზიული დაცვა</t>
  </si>
  <si>
    <t>სახანძრო სისტემის მაღალწნევიანი სატუმბი სადგური; ლითონის მოდულით, ჰორიზონტალური საყრდენი ძირით,
მრავალსაფეხურიანი ძრავებით, გამაფართოებელი ავზით,
მართვის ბლოკით, ვენტილებით, უკუსარქველებით, სამონტაჟო 
კომპლექტით. Q= 54.0 მ³/ს, H= 65 მ. მთავარი ძრავი 37 kW (400 V).
სარეზერვო ძრავი 37 kW (400 V). ჟოკეი ძრავი 1.1 kW (400 V)</t>
  </si>
  <si>
    <t>სადრენაჟო ტუმბო. Q max= 14.0 მ³/სთ H= 10მ, P=1.1 კვტ. 1 - 230 v.
50Hz. შემაერთებელი კაბელი 10მ. მცურავი გამომრთველით</t>
  </si>
  <si>
    <t>წყალსასიგნალო სარქველი D100 PN10</t>
  </si>
  <si>
    <t>ურდული D125 PN10</t>
  </si>
  <si>
    <t>ურდული D100 PN10</t>
  </si>
  <si>
    <t>ურდული D80 PN10</t>
  </si>
  <si>
    <t>ურდული D50 PN10</t>
  </si>
  <si>
    <t>ვენტილი D50 PN10</t>
  </si>
  <si>
    <t>ვენტილი D40 PN10</t>
  </si>
  <si>
    <t>ურდული პოზიციის ელექტრონული ინდიკატორით D100 PN10</t>
  </si>
  <si>
    <t>ურდული პოზიციის ელექტრონული ინდიკატორით D80 PN10</t>
  </si>
  <si>
    <t>ექსცენტრული გადამყვანი DN80x100 PN10</t>
  </si>
  <si>
    <t>კონცენტრული გადამყვანი DN125x100 PN10</t>
  </si>
  <si>
    <t>ვენტურის წყალმზომი D100 PN16</t>
  </si>
  <si>
    <t>მილი ფოლადის D125 PN10</t>
  </si>
  <si>
    <t>მილი ფოლადის D100 PN10</t>
  </si>
  <si>
    <t>მილი ფოლადის D80 PN10</t>
  </si>
  <si>
    <t>მილი ფოლადის D50 PN10</t>
  </si>
  <si>
    <t>მილი ფოლადის D40 PN10</t>
  </si>
  <si>
    <t xml:space="preserve"> სახანძრო-სამაშველო სამსახურის მიერ გამოსაყენებელი მისაერთებელი D80</t>
  </si>
  <si>
    <t>სამკაპი ფოლადის 125x125x100 PN10</t>
  </si>
  <si>
    <t>სამკაპი ფოლადის 125x125x80 PN10</t>
  </si>
  <si>
    <t>ფოლადის სარინი 90 DN125 PN10</t>
  </si>
  <si>
    <t>ფოლადის სარინი 90 DN100 PN10</t>
  </si>
  <si>
    <t>ფოლადის სარინი 90 DN80 PN10</t>
  </si>
  <si>
    <t>ფოლადის სარინი 90 DN50 PN10</t>
  </si>
  <si>
    <t>მილტუჩი ფოლადის D125 PN10</t>
  </si>
  <si>
    <t>მილტუჩი ფოლადის D100 PN10</t>
  </si>
  <si>
    <t>მილტუჩი ფოლადის D80 PN10</t>
  </si>
  <si>
    <t>მილტუჩი ფოლადის D50 PN10</t>
  </si>
  <si>
    <t>აირგამშვები ონკანი DN25</t>
  </si>
  <si>
    <t>ელექტროკონტაქტური მანომეტრი რეგულირებადი ჩამრთველით (5-15 ბარი)</t>
  </si>
  <si>
    <t>სამსვლიანი ონკანი DN15 PN10</t>
  </si>
  <si>
    <t>სფერული ვენტილი D40</t>
  </si>
  <si>
    <t>სახანძრო ჰიდრანტი კარადით DN50</t>
  </si>
  <si>
    <t>მილი ფოლადის D32 PN10</t>
  </si>
  <si>
    <t>მილი ფოლადის D25 PN10</t>
  </si>
  <si>
    <t>ნაკადის რელე DN80</t>
  </si>
  <si>
    <t>ნაკადის რელე DN50</t>
  </si>
  <si>
    <t>ნაკადის რელეს ტესტირების კვანძი (ვენტილით, დიაფრაგმით K=80, მანომეტრით 0.16 ბარ.)</t>
  </si>
  <si>
    <t>სისტემის დამცლელი (გამრეცხი) კვანძი, სფერული ვენტილით სახანძრო სახელოს შემაერთებლით DN20</t>
  </si>
  <si>
    <t>ჰაერგამშვები ვენტილი</t>
  </si>
  <si>
    <t>მუხლები ფოლადის PN10 DN80 DN65 DN50</t>
  </si>
  <si>
    <t>ფოლადის კუთხოვანა PN10 DN40 DN32 DN25</t>
  </si>
  <si>
    <t>ფოლადის გადამყვანი PN10 DN40×32 DN32×25</t>
  </si>
  <si>
    <t>ფოლადის სამკაპი PN10 DN80 DN80×80×50 DN80×80×40 DN80×80×32 DN80×80×25 DN50 DN50×50×25 DN32×32×25 DN25</t>
  </si>
  <si>
    <t>ფოლადის ჯვარედი PN10 DN80×80×32×32 DN80×80×32×25 DN80×80×25×25</t>
  </si>
  <si>
    <t>ფოლადის დამხშობი DN80 DN65 DN50 DN32 DN25</t>
  </si>
  <si>
    <t>მილის სამაგრი გადახურვაზე DN80 DN65 DN50 DN40 DN32 DN25</t>
  </si>
  <si>
    <t>მილის სამაგრი კედელზე DN80 DN65 DN50</t>
  </si>
  <si>
    <t>მაგისტრალური გამანაწილებელი ელ. კარადა, ინდივიდუალური ანაკრეფი, დაცვის კლასით IP30, შემომყვანი ავტომატი 800ა/3
ჯგუფური ავტომატები:
ცალფაზა - 16ა/1=2ც;
სამფაზა - 32ა/3=2ც; 63ა/3=2ც; 80ა/3=6ც; 160ა/3=2ც;</t>
  </si>
  <si>
    <t>სართულების გამანაწილებელი ელ. ფარი, ინდივიდუალური ანაკრეფი, დაცვის კლასით IP30, შემომყვანი ავტომატი 63ა/3
ჯგუფური ავტომატები:
ცალფაზა - 6ა/1=11ც; 16ა/1=4ც;
ორპოლუსიანი დიფერენციალური დაცვით 30ma,
ნომინალურ დენზე 16ა/2-003-5ც.
სამფაზა - 16ა/3-003-4ც 25ა/3-003-1ც.
მაგნიტური გამშვი 389ვ Iნ-2.5ამპ -5ც.
სამართავი ღილაკი სასიგნალო ნათურით ფასადზე -5ც</t>
  </si>
  <si>
    <t>სართულების ელ. გამანაწილებელი ფარი, ინდივიდუალური
ანაკრეფი, დაცვის კლასით IP30, შემომყვანი ავტომატი 25ა/3
ჯგუფური ავტომატური:
ცალფაზა - 6ა/1=4ც; 16ა/1=4ც
ორპოლუსიანი დიფერენციალური დაცვით 30მა,
ნომინალურ დენზე 16ა/2-003-1ც.</t>
  </si>
  <si>
    <t>სართულების ელ. გამანაწილებელი ფარი, ინდივიდუალური
ანაკრეფი, დაცვის კლასით IP30, შემომყვანი ავტომატი 50ა/3
ჯგუფური ავტომატური:
ცალფაზა - 6ა/1=3ც; 16ა/1=1ც
ორპოლუსიანი დიფერენციალური დაცვით 30მა,
ნომინალურ დენზე 16ა/2-003-7ც.</t>
  </si>
  <si>
    <t>სართულების ელ. გამანაწილებელი ფარი, ინდივიდუალური
ანაკრეფი, დაცვის კლასით IP30, შემომყვანი ავტომატი 50ა/3
ჯგუფური ავტომატური:
ცალფაზა - 6ა/1=3ც; 16ა/1=1ც
ორპოლუსიანი დიფერენციალური დაცვით 30მა,
ნომინალურ დენზე 16ა/2-003-4ც.</t>
  </si>
  <si>
    <t>სართულების ელ. გამანაწილებელი ფარი, ინდივიდუალური
ანაკრეფი, დაცვის კლასით IP30, შემომყვანი ავტომატი 125ა/3
ჯგუფური ავტომატური:
ცალფაზა - 6ა/1=12ც; 16ა/1=3ც;
ორპოლუსიანი დიფერენციალური დაცვით 30მა,
ნომინალურ დენზე 16ა/2-003-2ც.
სამფაზა - 16ა/3-003-4ც; 63ა/3-003-3ც.
მაგნიტური გამშვი 389ვ Iნ-2.5ამპ -4ც.
სამართავი ღილაკი სასიგნალო ნათურით ფასადზე -5ც</t>
  </si>
  <si>
    <t>სართულების ელ. გამანაწილებელი ფარი, ინდივიდუალური
ანაკრეფი, დაცვის კლასით IP30, შემომყვანი ავტომატი 40ა/3
ჯგუფური ავტომატური:
ცალფაზა - 6ა/1=4ც; 16ა/1=3ც
ორპოლუსიანი დიფერენციალური დაცვით 30მა,
ნომინალურ დენზე 16ა/2-003-6ც.</t>
  </si>
  <si>
    <t>სართულების ელ. გამანაწილებელი ფარი, ინდივიდუალური
ანაკრეფი, დაცვის კლასით IP30, შემომყვანი ავტომატი 40ა/3
ჯგუფური ავტომატური:
ცალფაზა - 6ა/1=5ც; 16ა/1=4ც;
ორპოლუსიანი დიფერენციალური დაცვით 30მა,
ნომინალურ დენზე 16ა/2-003-6ც.</t>
  </si>
  <si>
    <t>სართულების ელ. გამანაწილებელი ფარი, ინდივიდუალური
ანაკრეფი, დაცვის კლასით IP30, შემომყვანი ავტომატი 40ა/3
ჯგუფური ავტომატური:
ცალფაზა - 6ა/1=4ც; 16ა/1=2ც; 32ა/1=7ც</t>
  </si>
  <si>
    <t>სართულების ელ. გამანაწილებელი ფარი, ინდივიდუალური
ანაკრეფი, დაცვის კლასით IP30, შემომყვანი ავტომატი 40ა/3
ჯგუფური ავტომატური:
ცალფაზა - 6ა/1=4ც; 16ა/1=2ც; 32ა/1=7ც
სამფაზა-20/3-1ც</t>
  </si>
  <si>
    <t>სართულების ელ. გამანაწილებელი ფარი, ინდივიდუალური
ანაკრეფი, დაცვის კლასით IP30, შემომყვანი ავტომატი 50ა/3
ჯგუფური ავტომატური:
ცალფაზა - 6ა/1=2ც; 16ა/1=2ც; 32ა/1=7ც
სამფაზა - 16ა/3=2ც</t>
  </si>
  <si>
    <t>სართულების ელ. გამანაწილებელი ფარი, ინდივიდუალური
ანაკრეფი, დაცვის კლასით IP30, შემომყვანი ავტომატი 50ა/3
ჯგუფური ავტომატური:
ცალფაზა - 6ა/1=3ც; 16ა/1=5ც.</t>
  </si>
  <si>
    <t>ელ. გამანაწილებელი ყუთი ერთოთახიანი ბინებისთვის,
ინდივიდუალური ანაკრეფი, დაცვის კლასით IP30, შემომყვანი
ავტომატი 25ა/3
ჯგუფური ავტომატური:
ცალფაზა - 6ა/1=1ც; 16ა/1=3ც;
ორპოლუსიანი დიფერენციალური დაცვით 30მა,
ნომინალურ დენზე 16ა/2-003-1ც.</t>
  </si>
  <si>
    <t>ელ. გამანაწილებელი ყუთი ერთოთახიანი ბინებისთვის,
ინდივიდუალური ანაკრეფი, დაცვის კლასით IP30, შემომყვანი
ავტომატი 25ა/3
ჯგუფური ავტომატური:
ცალფაზა - 6ა/1=2ც; 16ა/4=3ც;
ორპოლუსიანი დიფერენციალური დაცვით 30მა,
ნომინალურ დენზე 16ა/2-003-1ც.</t>
  </si>
  <si>
    <t>ძალური გამანაწილებელი კარადა, ინდივიდუალური
ანაკრეფი, დაცვის კლასით IP54, შემომყვანი ავტომატი 160ა/3
ჯგუფური ავტომატური: 16ა/4-003=2ც; 25ა/4-003=2ც;
125ა/4-003=1ც</t>
  </si>
  <si>
    <t>ჭერზე აკრული სანათი შუქდიოდური LED ნათურით,
სიმძლავრით 35ვტ დაცვის კლასით IP20</t>
  </si>
  <si>
    <t>ჭერზე აკრული სანათი შუქდიოდური LED ნათურით
სიმძლავრით 35ვტ დაცვის კლასით IP44.</t>
  </si>
  <si>
    <t>ჭერზე აკრული სანათი შუქდიოდური LED ნათურით
სიმძლავრით 35ვტ დაცვის კლასით IP54.</t>
  </si>
  <si>
    <t>ჭერში ჩაფლული სანათი შუქდიოდური LED ნათურით
სიმძლავრით 6ვტ დაცვის კლასით IP44.</t>
  </si>
  <si>
    <t>ჭერზე აკრული სანათი შუქდიოდური LED ნათურით
სიმძლავრით 18ვტ დაცვის კლასით IP20.</t>
  </si>
  <si>
    <t>ჭერზე აკრული სანათი შუქდიოდური LED ნათურით
სიმძლავრით 18ვტ, დაცვის კლასით I P20</t>
  </si>
  <si>
    <t>ჭაღი შუქდიოდური LED ნათურებით
სიმძლავრით (3X18)ვტ, დაცვის კლასით I P20</t>
  </si>
  <si>
    <t>ჭაღი შუქდიოდური LED ნათურებით
სიმძლავრით (2X18)ვტ, დაცვის კლასით I P20</t>
  </si>
  <si>
    <t>ჭერზე აკრული სანათი შუქდიოდური LED ნათურით
სიმძლავრით (1X18)ვტ, დაცვის კლასით I P44</t>
  </si>
  <si>
    <t>ჭერზე აკრული სანათი შუქდიოდური LED ნათურით,
სიმძლავრით 33ვტ დაცვის კლასით IP44</t>
  </si>
  <si>
    <t>kedlis სანათი-bra შუქდიოდური LED ნათურით, 
სიმძლავრით 18ვტ, დაცვის კლასით I P20</t>
  </si>
  <si>
    <t>kedlis სანათი-bra შუქდიოდური LED ნათურით
სიმძლავრით 33ვტ, დაცვის კლასით I P65</t>
  </si>
  <si>
    <t>ჭერზე აკრული სანათი შუქდიოდური LED ნათურით
სიმძლავრით 18ვტ ინტეგრირებული აკუმულატორით</t>
  </si>
  <si>
    <t>ჭერზე აკრული სანათი შუქდიოდური LEDნათურით
სიმძლავრით 18ვტ ინტეგრირებული აკუმულატორით</t>
  </si>
  <si>
    <t>გასასვლელის მაჩვენებელი აკუმულატორით
შუქდიოდური მოდულით</t>
  </si>
  <si>
    <t>ჩასასვლელის მაჩვენებელი აკუმულატორით
შუქდიოდური მოდულით</t>
  </si>
  <si>
    <t>ამოსასვლელის მაჩვენებელი აკუმულატორით
შუქდიოდური მოდულით</t>
  </si>
  <si>
    <t>ჩამრთველი ერთკლავიშიანი, ფარული გაყვანილობის,
250v,10a. პლასტმასის ბუდით. დაცვის კლასით I P23.</t>
  </si>
  <si>
    <t>ჩამრთველი ერთკლავიშიანი, ფარული გაყვანილობის,
250v,10a. პლასტმასის ბუდით. დაცვის კლასით I P44.</t>
  </si>
  <si>
    <t>ჩამრთველი orklaviSiani, ფარული გაყვანილობის,
250v,10a. პლასტმასის ბუდით. დაცვის კლასით I P23.</t>
  </si>
  <si>
    <t>ჩამრთველი orklaviSiani, ფარული გაყვანილობის,
250v,10a. პლასტმასის ბუდით. დაცვის კლასით I P44</t>
  </si>
  <si>
    <t>რევერსული გამთიშველი განათების ორი ადგილიდან
მართვისათვის, ფარული გაყვანილობის, 250v, 10a. პლასტმასის
ბუდით. დაცვის კლასით IP23.</t>
  </si>
  <si>
    <t>ყუთი სამი ორპოლუსა როზეტით, მესამე დამამიწებლით,
დაცვის კლასით IP23</t>
  </si>
  <si>
    <t>ყუთი იატაკში ჩასაყენებელი დაცვის კლასით IP44</t>
  </si>
  <si>
    <t>როზეტი ორპოლუსა, მესამე დამამიწებლით, 250v, 6/10a
დაცვის კლასით IP23</t>
  </si>
  <si>
    <t>როზეტი ორპოლუსა, მესამე დამამიწებლით, 250v, 10/16a
დაცვის კლასით IP44</t>
  </si>
  <si>
    <t>გამანაწილებელი კოლოფი</t>
  </si>
  <si>
    <t>1(3X1.5)მმ²</t>
  </si>
  <si>
    <t>1(4X1.5)მმ²</t>
  </si>
  <si>
    <t>1(3X2.5)მმ²</t>
  </si>
  <si>
    <t>1(3X4)მმ²</t>
  </si>
  <si>
    <t>1(4X2.5)მმ²</t>
  </si>
  <si>
    <t>1(5X2.5)მმ²</t>
  </si>
  <si>
    <t>1(5X4)მმ²</t>
  </si>
  <si>
    <t>1(5X6)მმ²</t>
  </si>
  <si>
    <t>1(5X10)მმ²</t>
  </si>
  <si>
    <t>1(5X16)მმ²</t>
  </si>
  <si>
    <t>1(5X25)მმ²</t>
  </si>
  <si>
    <t>1(5X50)მმ²</t>
  </si>
  <si>
    <t>1(4X120+1X70)მმ²</t>
  </si>
  <si>
    <t>გოფრირებული პლასტმასის მილი d=20mm</t>
  </si>
  <si>
    <t>გოფრირებული პლასტმასის მილი d=40mm</t>
  </si>
  <si>
    <t>გოფრირებული პლასტმასის მილი d=100mm</t>
  </si>
  <si>
    <t>აქტიური მეხამრიდები დაცვის ზონის რადიუსი 40m</t>
  </si>
  <si>
    <t>ანძა (გალვანიზირებული მილი L=4m, d=50mm)</t>
  </si>
  <si>
    <t>დამიწების ღეროს დამჭერი</t>
  </si>
  <si>
    <t>გალვანიზებული მეტალის გადასაბმელი
მეხამრიდი მავთულზე</t>
  </si>
  <si>
    <t>სატესტო ყუთი</t>
  </si>
  <si>
    <t>გალვანიზებული მეტალის დამჭერი</t>
  </si>
  <si>
    <t>გალვანიზებული მეტალის ელექტროდი 2m, d=25mm</t>
  </si>
  <si>
    <t>გალვანიზებული მეტალის სალტე 40X4mm</t>
  </si>
  <si>
    <t>გალვანიზებული მეტალის სალტე 25X4 mm</t>
  </si>
  <si>
    <t>გალვანიზებული მეტალის მავთული d=10mm</t>
  </si>
  <si>
    <t>ბუნიკი კაბელისათვის კვეთით 1(5X25)მმ²</t>
  </si>
  <si>
    <t>ბუნიკი კაბელისათვის კვეთით 1(5X50)მმ²</t>
  </si>
  <si>
    <t>ბუნიკი კაბელისათვის კვეთით 1(1X70)მმ²</t>
  </si>
  <si>
    <t>ბუნიკი კაბელისათვის კვეთით 1(4X120)მმ²</t>
  </si>
  <si>
    <t>განმხოლოება კაბელისათვის კვეთით 1(5X25)მმ²</t>
  </si>
  <si>
    <t>განმხოლოება კაბელისათვის კვეთით 1(5X50)მმ²</t>
  </si>
  <si>
    <t>განმხოლოება კაბელისათვის კვეთით 1(1X70)მმ²</t>
  </si>
  <si>
    <t>განმხოლოება კაბელისათვის კვეთით 1(4X120)მმ²</t>
  </si>
  <si>
    <t>ვერტიკალური საკაბელო ხონჩა 60X500mm</t>
  </si>
  <si>
    <t>ჰორიზონტალური საკაბელო ხონჩა 60X500</t>
  </si>
  <si>
    <t>საკონტროლო ლენტა</t>
  </si>
  <si>
    <t>მიწის ამოღება ტრანშეიდან</t>
  </si>
  <si>
    <t>მიწის უკან ჩაყრა</t>
  </si>
  <si>
    <t>საწოლის მომზადება</t>
  </si>
  <si>
    <t>სახანძრო სიგნალიზაცია</t>
  </si>
  <si>
    <t>სახანძრო სიგნალიზაციის საკონტროლო პანელი 2 შლეიფზე (მარყუჟი) ორი საკონტროლო მოდულით (ერთი რეზერვი)</t>
  </si>
  <si>
    <t>LCD მანიპულატორი</t>
  </si>
  <si>
    <t>ოპტიკური კობინირებული სამისამართო (კვამლი) მაუწყებელი</t>
  </si>
  <si>
    <t>სახანძრო საგანგაშო ღილაკი</t>
  </si>
  <si>
    <t>ხმოვანი მაუწყებელი (სირენა)</t>
  </si>
  <si>
    <t>სახანძრო სიგნალიზაციის კაბელი 2x2x0,6+1x0,6 JE-H(St)H FE- 180/PH90)</t>
  </si>
  <si>
    <t>საკაბელო ღარი 25x25 მმ</t>
  </si>
  <si>
    <t>გოფრირებული მილი</t>
  </si>
  <si>
    <t>დეტექტორის სამონტაჟო ბაზა</t>
  </si>
  <si>
    <t>სისტემის საბაზისო ტესტირება (მიღება-გადაცემა)</t>
  </si>
  <si>
    <t>ვიდეო მეთვალყურეობა</t>
  </si>
  <si>
    <t>საკომუნიკაციო კარადა რეკი U42</t>
  </si>
  <si>
    <t>ქსელური საკომუნიკაციო პანელი (პაჩპანელი) patcj panel 24 port Rj-45,POE</t>
  </si>
  <si>
    <t>ქსელური გამანაწილებელი Switch 48 port RJ - 45,POE</t>
  </si>
  <si>
    <t>ვიდეო-კამერა გარე პერიმეტრისთვის</t>
  </si>
  <si>
    <t>ვიდეო-კამერა შიდა კონტროლისათვის</t>
  </si>
  <si>
    <t>ინტერნეტის კაბელი გადება კედელზე F/UTP-5e cat</t>
  </si>
  <si>
    <t>კამერების კაბელის მისამაგრებელი cat 5 RJ - 45 ჯეკი</t>
  </si>
  <si>
    <t>კაბელ არხი ზომით 40x40მმ</t>
  </si>
  <si>
    <t>სისტემა საბაზო ტესტირება (მიღება-გადაცემა , ტესტირება პაკეტი გაიტესტოს 1 Gb/s)</t>
  </si>
  <si>
    <t>მისამაგრებელი ლითონის ელემენტები</t>
  </si>
  <si>
    <t>ლითონის ფურცელი 200x100x4</t>
  </si>
  <si>
    <t>ლითონის კუთხოვანა 40*40*4</t>
  </si>
  <si>
    <t>ჭანჭიკი დ=8 300-500მმ-მდე სიგრძე</t>
  </si>
  <si>
    <t xml:space="preserve">ინტერნეტი </t>
  </si>
  <si>
    <t>საკომუნიკაციო კარადა რეკი U42 ვენტილატორი GB-66/22, , როზეტები PDU 12 ამპერიანი დამიწებით, UPS 1500 VATI. 1ც</t>
  </si>
  <si>
    <t>ქელური საკომუნიკაციო პანელი(პაჩპანელი) 24port RJ-45, POE</t>
  </si>
  <si>
    <t>ქელური გამანაწილებელი switch 48 port RJ-45,POE</t>
  </si>
  <si>
    <t xml:space="preserve">კომპიუტერის კაბელის გადება კედელზე FTP - 5e cat </t>
  </si>
  <si>
    <t xml:space="preserve">კომპიუტერის კაბელის გადება ვერტიკალურ  კედელზე FTP - 5e cat </t>
  </si>
  <si>
    <t>კომპიუტერის როზეტი RJ-45 კედელზე</t>
  </si>
  <si>
    <t>WIFI-ის წერტილი</t>
  </si>
  <si>
    <t>კაბელ არხი ზომით 20x20მმ</t>
  </si>
  <si>
    <t>პაჩკორდის კაბელი ს=0,5მ CAT 5UTP CABE</t>
  </si>
  <si>
    <t>პაჩკორდის კაბელი ს=1,0მ CAT 5UTP CABE</t>
  </si>
  <si>
    <t>პაჩკორდის კაბელი ს=1,5მ  CAT 5UTP CABE</t>
  </si>
  <si>
    <t xml:space="preserve">საკაბელო ხონჩები </t>
  </si>
  <si>
    <t xml:space="preserve">სერვის ლუქი </t>
  </si>
  <si>
    <t>სარემონტო სამუშაოები</t>
  </si>
  <si>
    <t>გარე ტერიტორია კონსტრუქციები</t>
  </si>
  <si>
    <t>მონოლითური რკ/ბ კედლის მოწყობა</t>
  </si>
  <si>
    <t>არმატურა A500C Ø8</t>
  </si>
  <si>
    <t>არმატურა A500C Ø10</t>
  </si>
  <si>
    <r>
      <t>არმატურა A500C Ø12</t>
    </r>
    <r>
      <rPr>
        <sz val="10"/>
        <rFont val="Calibri"/>
        <family val="2"/>
        <charset val="204"/>
      </rPr>
      <t>≤</t>
    </r>
  </si>
  <si>
    <t>მონოლითური რკ/ბ სვეტების მოწყობა</t>
  </si>
  <si>
    <t>მონოლითური რკ/ბ კოჭების მოწყობა</t>
  </si>
  <si>
    <t>მონოლითური რკ/ბ კიბეების მოწყობა</t>
  </si>
  <si>
    <t>არმატურა A240C Ø6</t>
  </si>
  <si>
    <t xml:space="preserve">ფასადის კედლების შელესვა ქვიშა-ცემენტის ხსნარით </t>
  </si>
  <si>
    <t>ლითონის ბადე</t>
  </si>
  <si>
    <t>მოზაიკა</t>
  </si>
  <si>
    <t>ლითონის კარებების მოწყობა</t>
  </si>
  <si>
    <t>მდფ-ის კარებების მოწყობა</t>
  </si>
  <si>
    <t>მდფ-ის კარები</t>
  </si>
  <si>
    <t>ბალასტი</t>
  </si>
  <si>
    <t>კარნიზების მოწყობა ფასადზე</t>
  </si>
  <si>
    <t>არმატურა</t>
  </si>
  <si>
    <t>ჭერის დამუშავება ლაქით</t>
  </si>
  <si>
    <t>ლაქი</t>
  </si>
  <si>
    <t>ქვაბულის უკუშევსება ბალასტით</t>
  </si>
  <si>
    <t>ბალასტის მოწყობა (კიბეები და პანდუსი)</t>
  </si>
  <si>
    <t>მანქანები</t>
  </si>
  <si>
    <t>ქვაბულის უკუშევსება მიწით</t>
  </si>
  <si>
    <t>კაც/დღე</t>
  </si>
  <si>
    <t>ერთეული</t>
  </si>
  <si>
    <t>დროებითი ელექტრომომარაგების მოწყობა</t>
  </si>
  <si>
    <t>დროებითი წყალმომარაგების მოწყობა</t>
  </si>
  <si>
    <t>დროებითი საოფისე კონტეინერის მოწყობა</t>
  </si>
  <si>
    <t>დროებითი სასაწყობე კონტეინერის მოწყობა</t>
  </si>
  <si>
    <t>დროებითი დაცვის ჯიხურის მოწყობა</t>
  </si>
  <si>
    <t>ჩამწერი მოწყობილობა</t>
  </si>
  <si>
    <t>ტრავენტინი</t>
  </si>
  <si>
    <t>წებო ცემენტი ყინვაგამძლე</t>
  </si>
  <si>
    <t>ვიტრაჯის ფერდილების შეფუთვა ტრავენტინის ქვით</t>
  </si>
  <si>
    <t>ჩასაყოლებელი დეტალები</t>
  </si>
  <si>
    <t>საფასადე ხარაჩოების მოწყობა(ნაწილობრივ ლურკები ნაწილობრივ ხარაჩო)</t>
  </si>
  <si>
    <t>ფიტინგები, ფასონური ნაწილები</t>
  </si>
  <si>
    <t>ტესტირების კვანძი (ვენტილით, დიაფრაგმით K=80, მანომეტრით 0.16 ბარ.)</t>
  </si>
  <si>
    <t xml:space="preserve">საქვაბის მშენებლობა </t>
  </si>
  <si>
    <t>ლიფტის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</si>
</sst>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_-* #,##0.00\ _₾_-;\-* #,##0.00\ _₾_-;_-* &quot;-&quot;??\ _₾_-;_-@_-"/>
    <numFmt numFmtId="165" formatCode="#,##0.00\ &quot;₾&quot;"/>
    <numFmt numFmtId="166" formatCode="_([$€-2]\ * #,##0.00_);_([$€-2]\ * \(#,##0.00\);_([$€-2]\ * &quot;-&quot;??_);_(@_)"/>
    <numFmt numFmtId="167" formatCode="_-* #,##0.00_р_._-;\-* #,##0.00_р_._-;_-* &quot;-&quot;??_р_._-;_-@_-"/>
    <numFmt numFmtId="168" formatCode="0.0%"/>
    <numFmt numFmtId="169" formatCode="0.00_ ;\-0.00\ "/>
    <numFmt numFmtId="170" formatCode="#,##0.0000000"/>
    <numFmt numFmtId="171" formatCode="#,##0.0000"/>
    <numFmt numFmtId="172" formatCode="_-* #,##0.00\ [$₾-437]_-;\-* #,##0.00\ [$₾-437]_-;_-* &quot;-&quot;??\ [$₾-437]_-;_-@_-"/>
    <numFmt numFmtId="173" formatCode="#,##0.0000000000"/>
    <numFmt numFmtId="174" formatCode="_-* #,##0.0\ _₾_-;\-* #,##0.0\ _₾_-;_-* &quot;-&quot;??\ _₾_-;_-@_-"/>
    <numFmt numFmtId="175" formatCode="_(* #,##0_);_(* \(#,##0\);_(* &quot;-&quot;??_);_(@_)"/>
    <numFmt numFmtId="176" formatCode="_(* #,##0.0_);_(* \(#,##0.0\);_(* &quot;-&quot;?_);_(@_)"/>
  </numFmts>
  <fonts count="53">
    <font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11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sz val="10"/>
      <name val="Arial"/>
      <family val="2"/>
    </font>
    <font>
      <b/>
      <sz val="10"/>
      <color theme="0"/>
      <name val="AcadNusx"/>
    </font>
    <font>
      <b/>
      <sz val="11"/>
      <color theme="0"/>
      <name val="AcadNusx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2"/>
      <name val="AcadNusx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cadNusx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name val="Times New Roman"/>
      <family val="1"/>
    </font>
    <font>
      <b/>
      <sz val="10"/>
      <name val="Acadnusd"/>
    </font>
    <font>
      <b/>
      <sz val="11"/>
      <name val="Calibri"/>
      <family val="2"/>
      <scheme val="minor"/>
    </font>
    <font>
      <sz val="11"/>
      <name val="Acadnusd"/>
    </font>
    <font>
      <sz val="10"/>
      <name val="Acadnusd"/>
    </font>
    <font>
      <b/>
      <sz val="10"/>
      <color theme="1"/>
      <name val="Acadnusd"/>
    </font>
    <font>
      <sz val="11"/>
      <color theme="1"/>
      <name val="Acadnusd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FFFF"/>
      <name val="FiraGO"/>
      <family val="2"/>
      <charset val="204"/>
    </font>
    <font>
      <sz val="10"/>
      <color theme="1"/>
      <name val="FiraGO"/>
      <family val="2"/>
      <charset val="204"/>
    </font>
    <font>
      <b/>
      <sz val="10"/>
      <name val="FiraGO"/>
      <family val="2"/>
      <charset val="204"/>
    </font>
    <font>
      <sz val="10"/>
      <color rgb="FFFFFFFF"/>
      <name val="FiraGO"/>
      <family val="2"/>
      <charset val="204"/>
    </font>
    <font>
      <sz val="10"/>
      <name val="FiraGO"/>
      <family val="2"/>
      <charset val="204"/>
    </font>
    <font>
      <b/>
      <sz val="10"/>
      <color theme="1"/>
      <name val="FiraGO"/>
      <family val="2"/>
      <charset val="204"/>
    </font>
    <font>
      <sz val="10"/>
      <color theme="1"/>
      <name val="Calibri"/>
      <family val="2"/>
      <charset val="204"/>
    </font>
    <font>
      <sz val="9"/>
      <color theme="1"/>
      <name val="FiraGO"/>
      <family val="2"/>
      <charset val="204"/>
    </font>
    <font>
      <sz val="11"/>
      <color theme="1"/>
      <name val="FiraGO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rgb="FFCE181E"/>
      </patternFill>
    </fill>
    <fill>
      <patternFill patternType="solid">
        <fgColor theme="9" tint="0.59999389629810485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5" fillId="0" borderId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37" fillId="0" borderId="0" applyNumberFormat="0" applyFill="0" applyBorder="0" applyAlignment="0" applyProtection="0"/>
    <xf numFmtId="164" fontId="36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89">
    <xf numFmtId="0" fontId="0" fillId="0" borderId="0" xfId="0"/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vertical="center"/>
    </xf>
    <xf numFmtId="165" fontId="1" fillId="0" borderId="0" xfId="0" applyNumberFormat="1" applyFont="1" applyFill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vertical="center"/>
    </xf>
    <xf numFmtId="0" fontId="7" fillId="3" borderId="3" xfId="1" applyFont="1" applyFill="1" applyBorder="1" applyAlignment="1" applyProtection="1">
      <alignment horizontal="left" vertical="center" wrapText="1"/>
    </xf>
    <xf numFmtId="0" fontId="10" fillId="0" borderId="0" xfId="4" applyFont="1" applyFill="1" applyAlignment="1">
      <alignment horizontal="center"/>
    </xf>
    <xf numFmtId="0" fontId="7" fillId="3" borderId="0" xfId="1" applyFont="1" applyFill="1" applyAlignment="1" applyProtection="1">
      <alignment horizontal="center" vertical="center" wrapText="1"/>
    </xf>
    <xf numFmtId="0" fontId="7" fillId="3" borderId="0" xfId="5" applyFont="1" applyFill="1" applyAlignment="1" applyProtection="1">
      <alignment horizontal="center" vertical="center" wrapText="1"/>
    </xf>
    <xf numFmtId="167" fontId="7" fillId="3" borderId="6" xfId="3" applyFont="1" applyFill="1" applyBorder="1" applyAlignment="1" applyProtection="1"/>
    <xf numFmtId="0" fontId="7" fillId="3" borderId="1" xfId="1" applyFont="1" applyFill="1" applyBorder="1" applyAlignment="1" applyProtection="1">
      <alignment horizontal="left" wrapText="1"/>
    </xf>
    <xf numFmtId="167" fontId="7" fillId="3" borderId="9" xfId="3" applyFont="1" applyFill="1" applyBorder="1" applyAlignment="1" applyProtection="1"/>
    <xf numFmtId="0" fontId="11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vertical="center" wrapText="1"/>
    </xf>
    <xf numFmtId="0" fontId="14" fillId="0" borderId="0" xfId="0" applyFont="1"/>
    <xf numFmtId="0" fontId="15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2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center" wrapText="1"/>
    </xf>
    <xf numFmtId="2" fontId="16" fillId="2" borderId="10" xfId="0" applyNumberFormat="1" applyFont="1" applyFill="1" applyBorder="1" applyAlignment="1">
      <alignment horizontal="center" vertical="center" wrapText="1"/>
    </xf>
    <xf numFmtId="165" fontId="16" fillId="2" borderId="10" xfId="0" applyNumberFormat="1" applyFont="1" applyFill="1" applyBorder="1" applyAlignment="1">
      <alignment vertical="center" wrapText="1"/>
    </xf>
    <xf numFmtId="165" fontId="14" fillId="0" borderId="10" xfId="0" applyNumberFormat="1" applyFont="1" applyFill="1" applyBorder="1" applyAlignment="1">
      <alignment vertical="top" wrapText="1"/>
    </xf>
    <xf numFmtId="0" fontId="21" fillId="0" borderId="0" xfId="0" applyFont="1"/>
    <xf numFmtId="0" fontId="19" fillId="2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 wrapText="1"/>
    </xf>
    <xf numFmtId="2" fontId="19" fillId="2" borderId="10" xfId="0" applyNumberFormat="1" applyFont="1" applyFill="1" applyBorder="1" applyAlignment="1">
      <alignment horizontal="center" vertical="center" wrapText="1"/>
    </xf>
    <xf numFmtId="165" fontId="19" fillId="2" borderId="10" xfId="0" applyNumberFormat="1" applyFont="1" applyFill="1" applyBorder="1" applyAlignment="1">
      <alignment vertical="top" wrapText="1"/>
    </xf>
    <xf numFmtId="165" fontId="19" fillId="2" borderId="10" xfId="0" applyNumberFormat="1" applyFont="1" applyFill="1" applyBorder="1" applyAlignment="1">
      <alignment vertical="center" wrapText="1"/>
    </xf>
    <xf numFmtId="0" fontId="22" fillId="0" borderId="0" xfId="0" applyFont="1"/>
    <xf numFmtId="165" fontId="19" fillId="2" borderId="10" xfId="0" applyNumberFormat="1" applyFont="1" applyFill="1" applyBorder="1" applyAlignment="1">
      <alignment wrapText="1"/>
    </xf>
    <xf numFmtId="165" fontId="16" fillId="2" borderId="10" xfId="0" applyNumberFormat="1" applyFont="1" applyFill="1" applyBorder="1" applyAlignment="1">
      <alignment vertical="top" wrapText="1"/>
    </xf>
    <xf numFmtId="0" fontId="15" fillId="0" borderId="2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 vertical="center" wrapText="1"/>
    </xf>
    <xf numFmtId="2" fontId="19" fillId="2" borderId="2" xfId="0" applyNumberFormat="1" applyFont="1" applyFill="1" applyBorder="1" applyAlignment="1">
      <alignment horizontal="center" vertical="center" wrapText="1"/>
    </xf>
    <xf numFmtId="165" fontId="19" fillId="2" borderId="2" xfId="0" applyNumberFormat="1" applyFont="1" applyFill="1" applyBorder="1" applyAlignment="1">
      <alignment vertical="top" wrapText="1"/>
    </xf>
    <xf numFmtId="165" fontId="19" fillId="2" borderId="2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5" fillId="0" borderId="9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center" vertical="center" wrapText="1"/>
    </xf>
    <xf numFmtId="165" fontId="16" fillId="2" borderId="9" xfId="0" applyNumberFormat="1" applyFont="1" applyFill="1" applyBorder="1" applyAlignment="1">
      <alignment vertical="top" wrapText="1"/>
    </xf>
    <xf numFmtId="165" fontId="16" fillId="2" borderId="9" xfId="0" applyNumberFormat="1" applyFont="1" applyFill="1" applyBorder="1" applyAlignment="1">
      <alignment vertical="center" wrapText="1"/>
    </xf>
    <xf numFmtId="165" fontId="15" fillId="0" borderId="10" xfId="0" applyNumberFormat="1" applyFont="1" applyFill="1" applyBorder="1" applyAlignment="1">
      <alignment vertical="top" wrapText="1"/>
    </xf>
    <xf numFmtId="165" fontId="24" fillId="2" borderId="10" xfId="0" applyNumberFormat="1" applyFont="1" applyFill="1" applyBorder="1" applyAlignment="1">
      <alignment vertical="center" wrapText="1"/>
    </xf>
    <xf numFmtId="165" fontId="25" fillId="2" borderId="10" xfId="0" applyNumberFormat="1" applyFont="1" applyFill="1" applyBorder="1" applyAlignment="1">
      <alignment vertical="center" wrapText="1"/>
    </xf>
    <xf numFmtId="43" fontId="15" fillId="2" borderId="10" xfId="0" applyNumberFormat="1" applyFont="1" applyFill="1" applyBorder="1" applyAlignment="1">
      <alignment vertical="center" wrapText="1"/>
    </xf>
    <xf numFmtId="0" fontId="15" fillId="2" borderId="0" xfId="0" applyFont="1" applyFill="1"/>
    <xf numFmtId="4" fontId="14" fillId="2" borderId="10" xfId="0" applyNumberFormat="1" applyFont="1" applyFill="1" applyBorder="1" applyAlignment="1">
      <alignment horizontal="center" vertical="center" wrapText="1"/>
    </xf>
    <xf numFmtId="165" fontId="14" fillId="2" borderId="10" xfId="0" applyNumberFormat="1" applyFont="1" applyFill="1" applyBorder="1" applyAlignment="1">
      <alignment vertical="center" wrapText="1"/>
    </xf>
    <xf numFmtId="0" fontId="14" fillId="2" borderId="0" xfId="0" applyFont="1" applyFill="1"/>
    <xf numFmtId="4" fontId="15" fillId="2" borderId="10" xfId="0" applyNumberFormat="1" applyFont="1" applyFill="1" applyBorder="1" applyAlignment="1">
      <alignment horizontal="center" vertical="center" wrapText="1"/>
    </xf>
    <xf numFmtId="165" fontId="15" fillId="2" borderId="10" xfId="0" applyNumberFormat="1" applyFont="1" applyFill="1" applyBorder="1" applyAlignment="1">
      <alignment vertical="center" wrapText="1"/>
    </xf>
    <xf numFmtId="0" fontId="15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5" fillId="2" borderId="10" xfId="0" applyFont="1" applyFill="1" applyBorder="1" applyAlignment="1">
      <alignment vertical="center" wrapText="1"/>
    </xf>
    <xf numFmtId="2" fontId="14" fillId="0" borderId="10" xfId="0" applyNumberFormat="1" applyFont="1" applyBorder="1" applyAlignment="1">
      <alignment horizontal="center" vertical="center"/>
    </xf>
    <xf numFmtId="2" fontId="19" fillId="2" borderId="10" xfId="0" applyNumberFormat="1" applyFont="1" applyFill="1" applyBorder="1" applyAlignment="1">
      <alignment horizontal="center" vertical="top" wrapText="1"/>
    </xf>
    <xf numFmtId="0" fontId="19" fillId="0" borderId="10" xfId="7" applyFont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center" vertical="top" wrapText="1"/>
    </xf>
    <xf numFmtId="0" fontId="16" fillId="0" borderId="9" xfId="6" applyFont="1" applyFill="1" applyBorder="1" applyAlignment="1" applyProtection="1">
      <alignment horizontal="left" vertical="top" wrapText="1"/>
    </xf>
    <xf numFmtId="0" fontId="14" fillId="2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top" wrapText="1"/>
    </xf>
    <xf numFmtId="4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16" fillId="2" borderId="10" xfId="8" applyNumberFormat="1" applyFont="1" applyFill="1" applyBorder="1" applyAlignment="1">
      <alignment vertical="center"/>
    </xf>
    <xf numFmtId="2" fontId="16" fillId="0" borderId="10" xfId="8" applyNumberFormat="1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9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4" fontId="30" fillId="2" borderId="10" xfId="8" applyNumberFormat="1" applyFont="1" applyFill="1" applyBorder="1" applyAlignment="1">
      <alignment vertical="center"/>
    </xf>
    <xf numFmtId="165" fontId="16" fillId="0" borderId="1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4" fontId="16" fillId="2" borderId="10" xfId="0" applyNumberFormat="1" applyFont="1" applyFill="1" applyBorder="1" applyAlignment="1">
      <alignment vertical="center" wrapText="1"/>
    </xf>
    <xf numFmtId="2" fontId="16" fillId="0" borderId="10" xfId="0" applyNumberFormat="1" applyFont="1" applyFill="1" applyBorder="1" applyAlignment="1">
      <alignment vertical="center" wrapText="1"/>
    </xf>
    <xf numFmtId="165" fontId="16" fillId="0" borderId="10" xfId="0" applyNumberFormat="1" applyFont="1" applyFill="1" applyBorder="1" applyAlignment="1">
      <alignment vertical="center" wrapText="1"/>
    </xf>
    <xf numFmtId="0" fontId="32" fillId="0" borderId="0" xfId="0" applyFont="1" applyFill="1"/>
    <xf numFmtId="0" fontId="15" fillId="0" borderId="10" xfId="0" applyFont="1" applyFill="1" applyBorder="1" applyAlignment="1">
      <alignment horizontal="center" vertical="center"/>
    </xf>
    <xf numFmtId="168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4" fontId="15" fillId="2" borderId="10" xfId="0" applyNumberFormat="1" applyFont="1" applyFill="1" applyBorder="1" applyAlignment="1">
      <alignment vertical="center"/>
    </xf>
    <xf numFmtId="2" fontId="15" fillId="0" borderId="10" xfId="0" applyNumberFormat="1" applyFont="1" applyFill="1" applyBorder="1" applyAlignment="1">
      <alignment vertical="center"/>
    </xf>
    <xf numFmtId="165" fontId="15" fillId="0" borderId="10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/>
    </xf>
    <xf numFmtId="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9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4" fontId="18" fillId="2" borderId="10" xfId="0" applyNumberFormat="1" applyFont="1" applyFill="1" applyBorder="1" applyAlignment="1"/>
    <xf numFmtId="2" fontId="15" fillId="0" borderId="10" xfId="0" applyNumberFormat="1" applyFont="1" applyBorder="1" applyAlignment="1"/>
    <xf numFmtId="165" fontId="15" fillId="0" borderId="10" xfId="0" applyNumberFormat="1" applyFont="1" applyBorder="1" applyAlignment="1"/>
    <xf numFmtId="0" fontId="34" fillId="0" borderId="0" xfId="0" applyFont="1"/>
    <xf numFmtId="0" fontId="0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/>
    <xf numFmtId="0" fontId="0" fillId="0" borderId="0" xfId="0" applyAlignment="1"/>
    <xf numFmtId="169" fontId="0" fillId="0" borderId="0" xfId="0" applyNumberFormat="1" applyAlignment="1"/>
    <xf numFmtId="0" fontId="35" fillId="0" borderId="0" xfId="0" applyFont="1" applyAlignment="1">
      <alignment vertical="center"/>
    </xf>
    <xf numFmtId="170" fontId="35" fillId="0" borderId="0" xfId="0" applyNumberFormat="1" applyFont="1" applyAlignment="1">
      <alignment vertical="center"/>
    </xf>
    <xf numFmtId="0" fontId="16" fillId="0" borderId="10" xfId="0" applyFont="1" applyBorder="1" applyAlignment="1">
      <alignment vertical="center" wrapText="1"/>
    </xf>
    <xf numFmtId="2" fontId="16" fillId="2" borderId="9" xfId="0" applyNumberFormat="1" applyFont="1" applyFill="1" applyBorder="1" applyAlignment="1">
      <alignment horizontal="center" vertical="center" wrapText="1"/>
    </xf>
    <xf numFmtId="2" fontId="18" fillId="2" borderId="10" xfId="0" applyNumberFormat="1" applyFont="1" applyFill="1" applyBorder="1" applyAlignment="1">
      <alignment horizontal="center" vertical="center"/>
    </xf>
    <xf numFmtId="4" fontId="19" fillId="2" borderId="10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/>
    <xf numFmtId="0" fontId="19" fillId="0" borderId="10" xfId="0" applyFont="1" applyBorder="1" applyAlignment="1">
      <alignment horizontal="left" vertical="top" wrapText="1"/>
    </xf>
    <xf numFmtId="0" fontId="19" fillId="0" borderId="0" xfId="0" applyFont="1" applyAlignment="1">
      <alignment wrapText="1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171" fontId="22" fillId="0" borderId="0" xfId="0" applyNumberFormat="1" applyFont="1"/>
    <xf numFmtId="172" fontId="0" fillId="0" borderId="0" xfId="0" applyNumberFormat="1"/>
    <xf numFmtId="173" fontId="0" fillId="0" borderId="0" xfId="0" applyNumberFormat="1"/>
    <xf numFmtId="166" fontId="0" fillId="0" borderId="0" xfId="0" applyNumberFormat="1"/>
    <xf numFmtId="0" fontId="0" fillId="0" borderId="10" xfId="0" applyBorder="1"/>
    <xf numFmtId="43" fontId="0" fillId="0" borderId="0" xfId="0" applyNumberFormat="1"/>
    <xf numFmtId="0" fontId="39" fillId="5" borderId="3" xfId="0" applyFont="1" applyFill="1" applyBorder="1" applyAlignment="1" applyProtection="1">
      <alignment horizontal="left" vertical="center" wrapText="1"/>
    </xf>
    <xf numFmtId="0" fontId="40" fillId="0" borderId="0" xfId="0" applyFont="1"/>
    <xf numFmtId="0" fontId="39" fillId="5" borderId="0" xfId="0" applyFont="1" applyFill="1" applyAlignment="1" applyProtection="1">
      <alignment horizontal="center" vertical="center" wrapText="1"/>
    </xf>
    <xf numFmtId="0" fontId="39" fillId="5" borderId="6" xfId="0" applyFont="1" applyFill="1" applyBorder="1" applyAlignment="1" applyProtection="1">
      <alignment horizontal="center"/>
    </xf>
    <xf numFmtId="0" fontId="39" fillId="5" borderId="1" xfId="0" applyFont="1" applyFill="1" applyBorder="1" applyAlignment="1" applyProtection="1">
      <alignment horizontal="left" wrapText="1"/>
    </xf>
    <xf numFmtId="0" fontId="39" fillId="5" borderId="9" xfId="0" applyFont="1" applyFill="1" applyBorder="1" applyAlignment="1" applyProtection="1">
      <alignment horizontal="center"/>
    </xf>
    <xf numFmtId="0" fontId="39" fillId="6" borderId="10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2" fillId="6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43" fillId="7" borderId="10" xfId="0" applyFont="1" applyFill="1" applyBorder="1" applyAlignment="1">
      <alignment horizontal="center" vertical="center" wrapText="1"/>
    </xf>
    <xf numFmtId="0" fontId="43" fillId="7" borderId="10" xfId="0" applyFont="1" applyFill="1" applyBorder="1" applyAlignment="1">
      <alignment horizontal="left" vertical="center" wrapText="1"/>
    </xf>
    <xf numFmtId="174" fontId="43" fillId="0" borderId="10" xfId="10" applyNumberFormat="1" applyFont="1" applyBorder="1" applyAlignment="1">
      <alignment horizontal="center" vertical="center"/>
    </xf>
    <xf numFmtId="174" fontId="43" fillId="0" borderId="10" xfId="10" applyNumberFormat="1" applyFont="1" applyBorder="1" applyAlignment="1" applyProtection="1">
      <alignment vertical="center"/>
    </xf>
    <xf numFmtId="174" fontId="43" fillId="0" borderId="6" xfId="10" applyNumberFormat="1" applyFont="1" applyFill="1" applyBorder="1" applyAlignment="1" applyProtection="1">
      <alignment vertical="center"/>
    </xf>
    <xf numFmtId="0" fontId="43" fillId="8" borderId="10" xfId="0" applyFont="1" applyFill="1" applyBorder="1" applyAlignment="1">
      <alignment horizontal="center" vertical="center" wrapText="1"/>
    </xf>
    <xf numFmtId="0" fontId="41" fillId="8" borderId="10" xfId="0" applyFont="1" applyFill="1" applyBorder="1" applyAlignment="1">
      <alignment horizontal="center" vertical="center" wrapText="1"/>
    </xf>
    <xf numFmtId="174" fontId="43" fillId="4" borderId="10" xfId="10" applyNumberFormat="1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vertical="center" wrapText="1"/>
    </xf>
    <xf numFmtId="174" fontId="43" fillId="0" borderId="10" xfId="10" applyNumberFormat="1" applyFont="1" applyFill="1" applyBorder="1" applyAlignment="1">
      <alignment horizontal="center" vertical="center"/>
    </xf>
    <xf numFmtId="0" fontId="41" fillId="7" borderId="10" xfId="0" applyFont="1" applyFill="1" applyBorder="1" applyAlignment="1">
      <alignment horizontal="center" vertical="center" wrapText="1"/>
    </xf>
    <xf numFmtId="0" fontId="40" fillId="4" borderId="10" xfId="0" applyFont="1" applyFill="1" applyBorder="1"/>
    <xf numFmtId="0" fontId="44" fillId="4" borderId="10" xfId="0" applyFont="1" applyFill="1" applyBorder="1" applyAlignment="1">
      <alignment horizontal="center" vertical="center"/>
    </xf>
    <xf numFmtId="174" fontId="40" fillId="4" borderId="10" xfId="10" applyNumberFormat="1" applyFont="1" applyFill="1" applyBorder="1" applyAlignment="1">
      <alignment horizontal="center" vertical="center"/>
    </xf>
    <xf numFmtId="0" fontId="43" fillId="9" borderId="10" xfId="0" applyFont="1" applyFill="1" applyBorder="1" applyAlignment="1">
      <alignment vertical="center" wrapText="1"/>
    </xf>
    <xf numFmtId="0" fontId="43" fillId="9" borderId="10" xfId="0" applyFont="1" applyFill="1" applyBorder="1" applyAlignment="1">
      <alignment horizontal="center" vertical="center" wrapText="1"/>
    </xf>
    <xf numFmtId="0" fontId="43" fillId="9" borderId="10" xfId="0" applyFont="1" applyFill="1" applyBorder="1" applyAlignment="1">
      <alignment horizontal="left" vertical="center" wrapText="1"/>
    </xf>
    <xf numFmtId="0" fontId="41" fillId="9" borderId="10" xfId="0" applyFont="1" applyFill="1" applyBorder="1" applyAlignment="1">
      <alignment horizontal="center" vertical="center" wrapText="1"/>
    </xf>
    <xf numFmtId="174" fontId="40" fillId="0" borderId="10" xfId="10" applyNumberFormat="1" applyFont="1" applyBorder="1" applyAlignment="1">
      <alignment horizontal="center" vertical="center"/>
    </xf>
    <xf numFmtId="0" fontId="40" fillId="0" borderId="10" xfId="0" applyFont="1" applyBorder="1"/>
    <xf numFmtId="0" fontId="40" fillId="0" borderId="10" xfId="0" applyFont="1" applyBorder="1" applyAlignment="1">
      <alignment horizontal="center" vertical="center"/>
    </xf>
    <xf numFmtId="0" fontId="44" fillId="4" borderId="10" xfId="0" applyFont="1" applyFill="1" applyBorder="1" applyAlignment="1">
      <alignment horizontal="center"/>
    </xf>
    <xf numFmtId="0" fontId="40" fillId="0" borderId="10" xfId="0" applyFont="1" applyBorder="1" applyAlignment="1">
      <alignment wrapText="1"/>
    </xf>
    <xf numFmtId="174" fontId="40" fillId="0" borderId="10" xfId="10" applyNumberFormat="1" applyFont="1" applyBorder="1" applyAlignment="1">
      <alignment vertical="center"/>
    </xf>
    <xf numFmtId="174" fontId="40" fillId="0" borderId="10" xfId="10" applyNumberFormat="1" applyFont="1" applyFill="1" applyBorder="1" applyAlignment="1">
      <alignment vertical="center"/>
    </xf>
    <xf numFmtId="0" fontId="40" fillId="0" borderId="10" xfId="0" applyFont="1" applyBorder="1" applyAlignment="1">
      <alignment horizontal="center"/>
    </xf>
    <xf numFmtId="43" fontId="40" fillId="0" borderId="0" xfId="0" applyNumberFormat="1" applyFont="1"/>
    <xf numFmtId="0" fontId="41" fillId="0" borderId="10" xfId="9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75" fontId="0" fillId="0" borderId="10" xfId="11" applyNumberFormat="1" applyFont="1" applyBorder="1" applyAlignment="1">
      <alignment vertical="center"/>
    </xf>
    <xf numFmtId="43" fontId="0" fillId="0" borderId="10" xfId="11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0" xfId="0" applyAlignment="1">
      <alignment wrapText="1"/>
    </xf>
    <xf numFmtId="43" fontId="40" fillId="0" borderId="10" xfId="11" applyFont="1" applyBorder="1" applyAlignment="1">
      <alignment vertical="center"/>
    </xf>
    <xf numFmtId="174" fontId="14" fillId="0" borderId="10" xfId="10" applyNumberFormat="1" applyFont="1" applyBorder="1" applyAlignment="1">
      <alignment vertical="center"/>
    </xf>
    <xf numFmtId="43" fontId="38" fillId="0" borderId="10" xfId="0" applyNumberFormat="1" applyFont="1" applyBorder="1"/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vertical="center"/>
    </xf>
    <xf numFmtId="0" fontId="0" fillId="4" borderId="10" xfId="0" applyFill="1" applyBorder="1"/>
    <xf numFmtId="174" fontId="0" fillId="0" borderId="10" xfId="10" applyNumberFormat="1" applyFont="1" applyBorder="1" applyAlignment="1">
      <alignment vertical="center"/>
    </xf>
    <xf numFmtId="176" fontId="0" fillId="0" borderId="0" xfId="0" applyNumberFormat="1"/>
    <xf numFmtId="174" fontId="0" fillId="4" borderId="10" xfId="10" applyNumberFormat="1" applyFont="1" applyFill="1" applyBorder="1" applyAlignment="1">
      <alignment vertical="center"/>
    </xf>
    <xf numFmtId="174" fontId="0" fillId="2" borderId="10" xfId="10" applyNumberFormat="1" applyFont="1" applyFill="1" applyBorder="1" applyAlignment="1">
      <alignment vertical="center"/>
    </xf>
    <xf numFmtId="0" fontId="0" fillId="2" borderId="0" xfId="0" applyFill="1"/>
    <xf numFmtId="0" fontId="0" fillId="4" borderId="0" xfId="0" applyFill="1"/>
    <xf numFmtId="0" fontId="44" fillId="4" borderId="2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vertical="center"/>
    </xf>
    <xf numFmtId="0" fontId="40" fillId="0" borderId="10" xfId="0" applyFont="1" applyFill="1" applyBorder="1" applyAlignment="1">
      <alignment wrapText="1"/>
    </xf>
    <xf numFmtId="0" fontId="0" fillId="0" borderId="0" xfId="0" applyAlignment="1">
      <alignment vertical="center"/>
    </xf>
    <xf numFmtId="0" fontId="18" fillId="2" borderId="0" xfId="0" applyFont="1" applyFill="1" applyAlignment="1">
      <alignment horizontal="left"/>
    </xf>
    <xf numFmtId="165" fontId="50" fillId="2" borderId="10" xfId="0" applyNumberFormat="1" applyFont="1" applyFill="1" applyBorder="1" applyAlignment="1">
      <alignment vertical="center" wrapText="1"/>
    </xf>
    <xf numFmtId="166" fontId="35" fillId="0" borderId="0" xfId="0" applyNumberFormat="1" applyFont="1"/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172" fontId="51" fillId="0" borderId="0" xfId="0" applyNumberFormat="1" applyFont="1"/>
    <xf numFmtId="0" fontId="40" fillId="2" borderId="10" xfId="0" applyFont="1" applyFill="1" applyBorder="1" applyAlignment="1">
      <alignment wrapText="1"/>
    </xf>
    <xf numFmtId="0" fontId="40" fillId="2" borderId="10" xfId="0" applyFont="1" applyFill="1" applyBorder="1" applyAlignment="1">
      <alignment horizontal="center" vertical="center"/>
    </xf>
    <xf numFmtId="43" fontId="40" fillId="2" borderId="10" xfId="11" applyFont="1" applyFill="1" applyBorder="1" applyAlignment="1">
      <alignment vertical="center"/>
    </xf>
    <xf numFmtId="174" fontId="40" fillId="2" borderId="10" xfId="10" applyNumberFormat="1" applyFont="1" applyFill="1" applyBorder="1" applyAlignment="1">
      <alignment vertical="center"/>
    </xf>
    <xf numFmtId="174" fontId="14" fillId="2" borderId="10" xfId="10" applyNumberFormat="1" applyFont="1" applyFill="1" applyBorder="1" applyAlignment="1">
      <alignment vertical="center"/>
    </xf>
    <xf numFmtId="9" fontId="30" fillId="2" borderId="10" xfId="0" applyNumberFormat="1" applyFont="1" applyFill="1" applyBorder="1" applyAlignment="1">
      <alignment horizontal="center" vertical="center"/>
    </xf>
    <xf numFmtId="165" fontId="14" fillId="2" borderId="10" xfId="0" applyNumberFormat="1" applyFont="1" applyFill="1" applyBorder="1" applyAlignment="1">
      <alignment horizontal="center" vertical="center" wrapText="1"/>
    </xf>
    <xf numFmtId="165" fontId="14" fillId="2" borderId="10" xfId="0" applyNumberFormat="1" applyFont="1" applyFill="1" applyBorder="1" applyAlignment="1">
      <alignment vertical="top" wrapText="1"/>
    </xf>
    <xf numFmtId="0" fontId="22" fillId="2" borderId="0" xfId="0" applyFont="1" applyFill="1"/>
    <xf numFmtId="165" fontId="15" fillId="2" borderId="10" xfId="0" applyNumberFormat="1" applyFont="1" applyFill="1" applyBorder="1" applyAlignment="1">
      <alignment vertical="top" wrapText="1"/>
    </xf>
    <xf numFmtId="165" fontId="15" fillId="2" borderId="10" xfId="0" applyNumberFormat="1" applyFont="1" applyFill="1" applyBorder="1" applyAlignment="1">
      <alignment horizontal="center" vertical="center" wrapText="1"/>
    </xf>
    <xf numFmtId="4" fontId="16" fillId="2" borderId="10" xfId="0" applyNumberFormat="1" applyFont="1" applyFill="1" applyBorder="1" applyAlignment="1">
      <alignment horizontal="center" vertical="center"/>
    </xf>
    <xf numFmtId="2" fontId="16" fillId="2" borderId="10" xfId="8" applyNumberFormat="1" applyFont="1" applyFill="1" applyBorder="1" applyAlignment="1">
      <alignment vertical="center"/>
    </xf>
    <xf numFmtId="2" fontId="16" fillId="2" borderId="10" xfId="0" applyNumberFormat="1" applyFont="1" applyFill="1" applyBorder="1" applyAlignment="1">
      <alignment vertical="center"/>
    </xf>
    <xf numFmtId="0" fontId="30" fillId="2" borderId="10" xfId="0" applyNumberFormat="1" applyFont="1" applyFill="1" applyBorder="1" applyAlignment="1">
      <alignment horizontal="center" vertical="center"/>
    </xf>
    <xf numFmtId="165" fontId="16" fillId="2" borderId="10" xfId="0" applyNumberFormat="1" applyFont="1" applyFill="1" applyBorder="1" applyAlignment="1">
      <alignment vertical="center"/>
    </xf>
    <xf numFmtId="0" fontId="16" fillId="2" borderId="10" xfId="0" applyNumberFormat="1" applyFont="1" applyFill="1" applyBorder="1" applyAlignment="1">
      <alignment horizontal="center" vertical="center" wrapText="1"/>
    </xf>
    <xf numFmtId="2" fontId="16" fillId="2" borderId="10" xfId="0" applyNumberFormat="1" applyFont="1" applyFill="1" applyBorder="1" applyAlignment="1">
      <alignment vertical="center" wrapText="1"/>
    </xf>
    <xf numFmtId="0" fontId="15" fillId="2" borderId="10" xfId="0" applyNumberFormat="1" applyFont="1" applyFill="1" applyBorder="1" applyAlignment="1">
      <alignment horizontal="center" vertical="center"/>
    </xf>
    <xf numFmtId="2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0" fontId="18" fillId="2" borderId="10" xfId="0" applyNumberFormat="1" applyFont="1" applyFill="1" applyBorder="1" applyAlignment="1">
      <alignment horizontal="center" vertical="center"/>
    </xf>
    <xf numFmtId="2" fontId="15" fillId="2" borderId="10" xfId="0" applyNumberFormat="1" applyFont="1" applyFill="1" applyBorder="1" applyAlignment="1"/>
    <xf numFmtId="165" fontId="15" fillId="2" borderId="10" xfId="0" applyNumberFormat="1" applyFont="1" applyFill="1" applyBorder="1" applyAlignment="1"/>
    <xf numFmtId="0" fontId="16" fillId="2" borderId="10" xfId="0" applyFont="1" applyFill="1" applyBorder="1" applyAlignment="1">
      <alignment vertical="center" wrapText="1"/>
    </xf>
    <xf numFmtId="0" fontId="23" fillId="2" borderId="10" xfId="0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center" vertical="center" wrapText="1"/>
    </xf>
    <xf numFmtId="0" fontId="16" fillId="2" borderId="9" xfId="6" applyFont="1" applyFill="1" applyBorder="1" applyAlignment="1" applyProtection="1">
      <alignment horizontal="left" vertical="top" wrapText="1"/>
    </xf>
    <xf numFmtId="0" fontId="19" fillId="2" borderId="10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horizontal="center" vertical="top" wrapText="1"/>
    </xf>
    <xf numFmtId="0" fontId="48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2" fontId="0" fillId="0" borderId="10" xfId="10" applyNumberFormat="1" applyFont="1" applyBorder="1"/>
    <xf numFmtId="0" fontId="52" fillId="0" borderId="10" xfId="0" applyFont="1" applyBorder="1"/>
    <xf numFmtId="172" fontId="52" fillId="0" borderId="10" xfId="10" applyNumberFormat="1" applyFont="1" applyBorder="1"/>
    <xf numFmtId="172" fontId="38" fillId="0" borderId="10" xfId="0" applyNumberFormat="1" applyFont="1" applyBorder="1"/>
    <xf numFmtId="0" fontId="18" fillId="10" borderId="10" xfId="0" applyFont="1" applyFill="1" applyBorder="1" applyAlignment="1">
      <alignment horizontal="center" vertical="center" wrapText="1"/>
    </xf>
    <xf numFmtId="0" fontId="18" fillId="10" borderId="10" xfId="0" applyFont="1" applyFill="1" applyBorder="1" applyAlignment="1">
      <alignment horizontal="left" vertical="center" wrapText="1"/>
    </xf>
    <xf numFmtId="4" fontId="18" fillId="10" borderId="10" xfId="0" applyNumberFormat="1" applyFont="1" applyFill="1" applyBorder="1" applyAlignment="1">
      <alignment horizontal="center" vertical="center" wrapText="1"/>
    </xf>
    <xf numFmtId="165" fontId="18" fillId="10" borderId="10" xfId="0" applyNumberFormat="1" applyFont="1" applyFill="1" applyBorder="1" applyAlignment="1">
      <alignment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left" vertical="center" wrapText="1"/>
    </xf>
    <xf numFmtId="0" fontId="14" fillId="11" borderId="10" xfId="0" applyFont="1" applyFill="1" applyBorder="1" applyAlignment="1">
      <alignment horizontal="center" vertical="center" wrapText="1"/>
    </xf>
    <xf numFmtId="4" fontId="15" fillId="11" borderId="10" xfId="0" applyNumberFormat="1" applyFont="1" applyFill="1" applyBorder="1" applyAlignment="1">
      <alignment horizontal="center" vertical="center" wrapText="1"/>
    </xf>
    <xf numFmtId="165" fontId="14" fillId="11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Alignment="1">
      <alignment vertical="center"/>
    </xf>
    <xf numFmtId="167" fontId="7" fillId="3" borderId="2" xfId="3" applyFont="1" applyFill="1" applyBorder="1" applyAlignment="1" applyProtection="1">
      <alignment vertical="center"/>
    </xf>
    <xf numFmtId="167" fontId="7" fillId="3" borderId="9" xfId="3" applyFont="1" applyFill="1" applyBorder="1" applyAlignment="1" applyProtection="1">
      <alignment vertical="center"/>
    </xf>
    <xf numFmtId="0" fontId="2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5" fontId="1" fillId="0" borderId="1" xfId="0" applyNumberFormat="1" applyFont="1" applyFill="1" applyBorder="1" applyAlignment="1">
      <alignment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0" fontId="6" fillId="3" borderId="6" xfId="1" applyNumberFormat="1" applyFont="1" applyFill="1" applyBorder="1" applyAlignment="1" applyProtection="1">
      <alignment horizontal="center" vertical="center"/>
    </xf>
    <xf numFmtId="0" fontId="6" fillId="3" borderId="9" xfId="1" applyNumberFormat="1" applyFont="1" applyFill="1" applyBorder="1" applyAlignment="1" applyProtection="1">
      <alignment horizontal="center" vertical="center"/>
    </xf>
    <xf numFmtId="9" fontId="7" fillId="3" borderId="2" xfId="2" applyFont="1" applyFill="1" applyBorder="1" applyAlignment="1" applyProtection="1">
      <alignment horizontal="center" vertical="center"/>
    </xf>
    <xf numFmtId="9" fontId="7" fillId="3" borderId="6" xfId="2" applyFont="1" applyFill="1" applyBorder="1" applyAlignment="1" applyProtection="1">
      <alignment horizontal="center" vertical="center"/>
    </xf>
    <xf numFmtId="9" fontId="7" fillId="3" borderId="9" xfId="2" applyFont="1" applyFill="1" applyBorder="1" applyAlignment="1" applyProtection="1">
      <alignment horizontal="center" vertical="center"/>
    </xf>
    <xf numFmtId="167" fontId="7" fillId="3" borderId="4" xfId="3" applyFont="1" applyFill="1" applyBorder="1" applyAlignment="1" applyProtection="1">
      <alignment horizontal="center" vertical="center"/>
    </xf>
    <xf numFmtId="167" fontId="7" fillId="3" borderId="7" xfId="3" applyFont="1" applyFill="1" applyBorder="1" applyAlignment="1" applyProtection="1">
      <alignment horizontal="center" vertical="center"/>
    </xf>
    <xf numFmtId="167" fontId="7" fillId="3" borderId="5" xfId="3" applyFont="1" applyFill="1" applyBorder="1" applyAlignment="1" applyProtection="1">
      <alignment vertical="center"/>
    </xf>
    <xf numFmtId="167" fontId="7" fillId="3" borderId="4" xfId="3" applyFont="1" applyFill="1" applyBorder="1" applyAlignment="1" applyProtection="1">
      <alignment vertical="center"/>
    </xf>
    <xf numFmtId="167" fontId="7" fillId="3" borderId="8" xfId="3" applyFont="1" applyFill="1" applyBorder="1" applyAlignment="1" applyProtection="1">
      <alignment vertical="center"/>
    </xf>
    <xf numFmtId="167" fontId="7" fillId="3" borderId="7" xfId="3" applyFont="1" applyFill="1" applyBorder="1" applyAlignment="1" applyProtection="1">
      <alignment vertical="center"/>
    </xf>
    <xf numFmtId="167" fontId="7" fillId="3" borderId="5" xfId="3" applyFont="1" applyFill="1" applyBorder="1" applyAlignment="1" applyProtection="1">
      <alignment wrapText="1"/>
    </xf>
    <xf numFmtId="167" fontId="7" fillId="3" borderId="4" xfId="3" applyFont="1" applyFill="1" applyBorder="1" applyAlignment="1" applyProtection="1">
      <alignment wrapText="1"/>
    </xf>
    <xf numFmtId="167" fontId="7" fillId="3" borderId="8" xfId="3" applyFont="1" applyFill="1" applyBorder="1" applyAlignment="1" applyProtection="1">
      <alignment wrapText="1"/>
    </xf>
    <xf numFmtId="167" fontId="7" fillId="3" borderId="7" xfId="3" applyFont="1" applyFill="1" applyBorder="1" applyAlignment="1" applyProtection="1">
      <alignment wrapText="1"/>
    </xf>
    <xf numFmtId="167" fontId="7" fillId="3" borderId="6" xfId="3" applyFont="1" applyFill="1" applyBorder="1" applyAlignment="1" applyProtection="1">
      <alignment vertical="center"/>
    </xf>
    <xf numFmtId="167" fontId="7" fillId="3" borderId="2" xfId="3" applyFont="1" applyFill="1" applyBorder="1" applyAlignment="1" applyProtection="1">
      <alignment horizontal="center" vertical="center"/>
    </xf>
    <xf numFmtId="167" fontId="7" fillId="3" borderId="9" xfId="3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 applyProtection="1">
      <alignment horizontal="center" vertical="center"/>
    </xf>
    <xf numFmtId="0" fontId="39" fillId="5" borderId="11" xfId="0" applyFont="1" applyFill="1" applyBorder="1" applyAlignment="1" applyProtection="1">
      <alignment horizontal="center" vertical="center"/>
    </xf>
  </cellXfs>
  <cellStyles count="12">
    <cellStyle name="Comma 17" xfId="3"/>
    <cellStyle name="Comma 2" xfId="10"/>
    <cellStyle name="Comma 2 2" xfId="11"/>
    <cellStyle name="Explanatory Text" xfId="9" builtinId="53"/>
    <cellStyle name="Normal" xfId="0" builtinId="0"/>
    <cellStyle name="Normal 10" xfId="5"/>
    <cellStyle name="Normal 3" xfId="6"/>
    <cellStyle name="Normal 4" xfId="7"/>
    <cellStyle name="Normal_gare wyalsadfenigagarini 10" xfId="8"/>
    <cellStyle name="Normal_gare wyalsadfenigagarini 2_SMSH2008-IIkv ." xfId="1"/>
    <cellStyle name="Percent 3" xfId="2"/>
    <cellStyle name="Обычный 4" xfId="4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145" zoomScaleNormal="145" workbookViewId="0">
      <selection activeCell="B8" sqref="B8"/>
    </sheetView>
  </sheetViews>
  <sheetFormatPr defaultColWidth="8.77734375" defaultRowHeight="14.4"/>
  <cols>
    <col min="1" max="1" width="5.6640625" customWidth="1"/>
    <col min="2" max="2" width="42.6640625" customWidth="1"/>
    <col min="3" max="3" width="15" bestFit="1" customWidth="1"/>
    <col min="4" max="4" width="23.109375" customWidth="1"/>
    <col min="5" max="5" width="14.33203125" bestFit="1" customWidth="1"/>
    <col min="6" max="6" width="14.77734375" customWidth="1"/>
    <col min="7" max="7" width="14.109375" bestFit="1" customWidth="1"/>
    <col min="8" max="8" width="20.44140625" customWidth="1"/>
    <col min="11" max="11" width="12.44140625" bestFit="1" customWidth="1"/>
    <col min="12" max="12" width="14.109375" bestFit="1" customWidth="1"/>
  </cols>
  <sheetData>
    <row r="1" spans="1:6">
      <c r="A1" t="s">
        <v>157</v>
      </c>
    </row>
    <row r="4" spans="1:6">
      <c r="A4" s="242" t="s">
        <v>3</v>
      </c>
      <c r="B4" s="242" t="s">
        <v>158</v>
      </c>
      <c r="C4" s="242" t="s">
        <v>159</v>
      </c>
    </row>
    <row r="5" spans="1:6">
      <c r="A5" s="243">
        <v>1</v>
      </c>
      <c r="B5" s="139" t="s">
        <v>536</v>
      </c>
      <c r="C5" s="244"/>
    </row>
    <row r="6" spans="1:6">
      <c r="A6" s="243">
        <v>2</v>
      </c>
      <c r="B6" s="139" t="s">
        <v>160</v>
      </c>
      <c r="C6" s="244"/>
    </row>
    <row r="7" spans="1:6">
      <c r="A7" s="243">
        <v>3</v>
      </c>
      <c r="B7" s="139" t="s">
        <v>161</v>
      </c>
      <c r="C7" s="244"/>
    </row>
    <row r="8" spans="1:6">
      <c r="A8" s="243">
        <v>4</v>
      </c>
      <c r="B8" s="139" t="s">
        <v>162</v>
      </c>
      <c r="C8" s="244"/>
    </row>
    <row r="9" spans="1:6">
      <c r="A9" s="243">
        <v>5</v>
      </c>
      <c r="B9" s="139" t="s">
        <v>163</v>
      </c>
      <c r="C9" s="244"/>
    </row>
    <row r="10" spans="1:6">
      <c r="A10" s="243">
        <v>6</v>
      </c>
      <c r="B10" s="245" t="s">
        <v>576</v>
      </c>
      <c r="C10" s="246"/>
    </row>
    <row r="11" spans="1:6">
      <c r="A11" s="257" t="s">
        <v>164</v>
      </c>
      <c r="B11" s="257"/>
      <c r="C11" s="247">
        <f>SUM(C5:C10)</f>
        <v>0</v>
      </c>
      <c r="D11" s="140"/>
      <c r="E11" s="140"/>
    </row>
    <row r="12" spans="1:6">
      <c r="C12" s="211"/>
    </row>
    <row r="13" spans="1:6">
      <c r="B13" s="138"/>
    </row>
    <row r="14" spans="1:6">
      <c r="C14" s="136"/>
    </row>
    <row r="16" spans="1:6">
      <c r="D16" s="136"/>
      <c r="E16" s="138"/>
      <c r="F16" s="136"/>
    </row>
    <row r="17" spans="4:12">
      <c r="D17" s="136"/>
      <c r="E17" s="138"/>
      <c r="F17" s="136"/>
    </row>
    <row r="18" spans="4:12">
      <c r="E18" s="138"/>
      <c r="F18" s="136"/>
    </row>
    <row r="19" spans="4:12">
      <c r="E19" s="138"/>
      <c r="F19" s="136"/>
    </row>
    <row r="20" spans="4:12">
      <c r="E20" s="138"/>
      <c r="F20" s="136"/>
    </row>
    <row r="21" spans="4:12">
      <c r="E21" s="138"/>
      <c r="F21" s="136"/>
    </row>
    <row r="22" spans="4:12">
      <c r="E22" s="138"/>
      <c r="F22" s="136"/>
    </row>
    <row r="23" spans="4:12">
      <c r="E23" s="206"/>
      <c r="F23" s="136"/>
    </row>
    <row r="24" spans="4:12">
      <c r="E24" s="206"/>
      <c r="F24" s="136"/>
    </row>
    <row r="25" spans="4:12">
      <c r="E25" s="206"/>
      <c r="F25" s="136"/>
    </row>
    <row r="26" spans="4:12">
      <c r="E26" s="138"/>
      <c r="F26" s="136"/>
      <c r="K26" s="138"/>
      <c r="L26" s="138"/>
    </row>
    <row r="28" spans="4:12">
      <c r="H28" s="138"/>
    </row>
    <row r="29" spans="4:12">
      <c r="E29" s="138"/>
      <c r="F29" s="136"/>
      <c r="G29" s="138"/>
    </row>
    <row r="30" spans="4:12">
      <c r="E30" s="138"/>
      <c r="G30" s="138"/>
    </row>
  </sheetData>
  <mergeCells count="1">
    <mergeCell ref="A11:B11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9"/>
  <sheetViews>
    <sheetView topLeftCell="A304" workbookViewId="0">
      <selection activeCell="A324" sqref="A324:K325"/>
    </sheetView>
  </sheetViews>
  <sheetFormatPr defaultColWidth="8.77734375" defaultRowHeight="14.4"/>
  <cols>
    <col min="1" max="1" width="6" style="116" customWidth="1"/>
    <col min="2" max="2" width="44.33203125" customWidth="1"/>
    <col min="3" max="3" width="9" style="117" customWidth="1"/>
    <col min="4" max="4" width="9.33203125" style="118" customWidth="1"/>
    <col min="5" max="5" width="12.44140625" style="119" bestFit="1" customWidth="1"/>
    <col min="6" max="6" width="13.44140625" style="120" customWidth="1"/>
    <col min="7" max="7" width="11.44140625" style="120" bestFit="1" customWidth="1"/>
    <col min="8" max="8" width="13.44140625" style="120" bestFit="1" customWidth="1"/>
    <col min="9" max="9" width="9.6640625" style="120" bestFit="1" customWidth="1"/>
    <col min="10" max="10" width="12.44140625" style="120" bestFit="1" customWidth="1"/>
    <col min="11" max="11" width="17.33203125" style="120" bestFit="1" customWidth="1"/>
    <col min="12" max="12" width="15" customWidth="1"/>
    <col min="13" max="13" width="9.77734375" bestFit="1" customWidth="1"/>
    <col min="14" max="14" width="31.44140625" customWidth="1"/>
    <col min="15" max="15" width="11.44140625" bestFit="1" customWidth="1"/>
  </cols>
  <sheetData>
    <row r="1" spans="1:11" s="1" customFormat="1" ht="15.75" customHeight="1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s="1" customFormat="1" ht="17.25" customHeight="1">
      <c r="A2" s="258" t="s">
        <v>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s="1" customFormat="1" ht="17.25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s="1" customFormat="1">
      <c r="A4" s="2"/>
      <c r="B4" s="3"/>
      <c r="C4" s="131"/>
      <c r="D4" s="131"/>
      <c r="E4" s="4"/>
      <c r="F4" s="133"/>
      <c r="G4" s="5"/>
      <c r="H4" s="5"/>
      <c r="I4" s="5"/>
      <c r="J4" s="5"/>
      <c r="K4" s="5"/>
    </row>
    <row r="5" spans="1:11" s="6" customFormat="1" ht="13.5" customHeight="1">
      <c r="A5" s="259"/>
      <c r="B5" s="259"/>
      <c r="C5" s="259"/>
      <c r="D5" s="259"/>
      <c r="E5" s="4"/>
      <c r="F5" s="133"/>
      <c r="G5" s="260" t="s">
        <v>2</v>
      </c>
      <c r="H5" s="260"/>
      <c r="I5" s="260"/>
      <c r="J5" s="261"/>
      <c r="K5" s="261"/>
    </row>
    <row r="6" spans="1:11" s="6" customFormat="1" ht="13.5" customHeight="1">
      <c r="A6" s="2"/>
      <c r="B6" s="132"/>
      <c r="C6" s="132"/>
      <c r="D6" s="132"/>
      <c r="E6" s="4"/>
      <c r="F6" s="133"/>
      <c r="G6" s="133"/>
      <c r="H6" s="133"/>
      <c r="I6" s="133"/>
      <c r="J6" s="5"/>
      <c r="K6" s="5"/>
    </row>
    <row r="7" spans="1:11" s="1" customFormat="1" ht="10.5" customHeight="1">
      <c r="A7" s="2"/>
      <c r="B7" s="7"/>
      <c r="C7" s="132"/>
      <c r="D7" s="132"/>
      <c r="E7" s="8"/>
      <c r="F7" s="5"/>
      <c r="G7" s="5"/>
      <c r="H7" s="5"/>
      <c r="I7" s="5"/>
      <c r="J7" s="266"/>
      <c r="K7" s="266"/>
    </row>
    <row r="8" spans="1:11" s="10" customFormat="1" ht="13.95" customHeight="1">
      <c r="A8" s="267" t="s">
        <v>3</v>
      </c>
      <c r="B8" s="9"/>
      <c r="C8" s="270" t="s">
        <v>4</v>
      </c>
      <c r="D8" s="273"/>
      <c r="E8" s="275" t="s">
        <v>5</v>
      </c>
      <c r="F8" s="276"/>
      <c r="G8" s="275" t="s">
        <v>6</v>
      </c>
      <c r="H8" s="276"/>
      <c r="I8" s="279" t="s">
        <v>7</v>
      </c>
      <c r="J8" s="280"/>
      <c r="K8" s="262" t="s">
        <v>8</v>
      </c>
    </row>
    <row r="9" spans="1:11" s="10" customFormat="1" ht="17.399999999999999">
      <c r="A9" s="268"/>
      <c r="B9" s="11" t="s">
        <v>9</v>
      </c>
      <c r="C9" s="271"/>
      <c r="D9" s="274"/>
      <c r="E9" s="277"/>
      <c r="F9" s="278"/>
      <c r="G9" s="277"/>
      <c r="H9" s="278"/>
      <c r="I9" s="281"/>
      <c r="J9" s="282"/>
      <c r="K9" s="283"/>
    </row>
    <row r="10" spans="1:11" s="10" customFormat="1" ht="13.95" customHeight="1">
      <c r="A10" s="268"/>
      <c r="B10" s="12"/>
      <c r="C10" s="271"/>
      <c r="D10" s="284" t="s">
        <v>10</v>
      </c>
      <c r="E10" s="13" t="s">
        <v>11</v>
      </c>
      <c r="F10" s="262" t="s">
        <v>10</v>
      </c>
      <c r="G10" s="13" t="s">
        <v>11</v>
      </c>
      <c r="H10" s="262" t="s">
        <v>10</v>
      </c>
      <c r="I10" s="13" t="s">
        <v>11</v>
      </c>
      <c r="J10" s="262" t="s">
        <v>10</v>
      </c>
      <c r="K10" s="283"/>
    </row>
    <row r="11" spans="1:11" s="10" customFormat="1" ht="13.95" customHeight="1">
      <c r="A11" s="269"/>
      <c r="B11" s="14"/>
      <c r="C11" s="272"/>
      <c r="D11" s="285"/>
      <c r="E11" s="15" t="s">
        <v>12</v>
      </c>
      <c r="F11" s="263"/>
      <c r="G11" s="15" t="s">
        <v>12</v>
      </c>
      <c r="H11" s="263"/>
      <c r="I11" s="15" t="s">
        <v>12</v>
      </c>
      <c r="J11" s="263"/>
      <c r="K11" s="263"/>
    </row>
    <row r="12" spans="1:11" s="20" customFormat="1">
      <c r="A12" s="16">
        <v>1</v>
      </c>
      <c r="B12" s="17">
        <v>2</v>
      </c>
      <c r="C12" s="18">
        <v>3</v>
      </c>
      <c r="D12" s="17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</row>
    <row r="13" spans="1:11" s="33" customFormat="1" ht="27.6">
      <c r="A13" s="27">
        <v>1</v>
      </c>
      <c r="B13" s="28" t="s">
        <v>20</v>
      </c>
      <c r="C13" s="29" t="s">
        <v>21</v>
      </c>
      <c r="D13" s="30">
        <v>15</v>
      </c>
      <c r="E13" s="31"/>
      <c r="F13" s="31"/>
      <c r="G13" s="31"/>
      <c r="H13" s="31"/>
      <c r="I13" s="31"/>
      <c r="J13" s="31"/>
      <c r="K13" s="32"/>
    </row>
    <row r="14" spans="1:11" s="39" customFormat="1" ht="13.8">
      <c r="A14" s="27"/>
      <c r="B14" s="34" t="s">
        <v>14</v>
      </c>
      <c r="C14" s="35" t="s">
        <v>21</v>
      </c>
      <c r="D14" s="36">
        <f>D13</f>
        <v>15</v>
      </c>
      <c r="E14" s="37"/>
      <c r="F14" s="38"/>
      <c r="G14" s="37">
        <f>110*1.3</f>
        <v>143</v>
      </c>
      <c r="H14" s="38">
        <f t="shared" ref="H14" si="0">G14*D14</f>
        <v>2145</v>
      </c>
      <c r="I14" s="37"/>
      <c r="J14" s="38"/>
      <c r="K14" s="32">
        <f t="shared" ref="K14:K15" si="1">J14+H14+F14</f>
        <v>2145</v>
      </c>
    </row>
    <row r="15" spans="1:11" s="39" customFormat="1" ht="13.8">
      <c r="A15" s="27"/>
      <c r="B15" s="34" t="s">
        <v>16</v>
      </c>
      <c r="C15" s="25" t="s">
        <v>17</v>
      </c>
      <c r="D15" s="36">
        <f>D13</f>
        <v>15</v>
      </c>
      <c r="E15" s="37"/>
      <c r="F15" s="38"/>
      <c r="G15" s="37"/>
      <c r="H15" s="38"/>
      <c r="I15" s="37">
        <v>3.2</v>
      </c>
      <c r="J15" s="38">
        <f t="shared" ref="J15" si="2">I15*D15</f>
        <v>48</v>
      </c>
      <c r="K15" s="32">
        <f t="shared" si="1"/>
        <v>48</v>
      </c>
    </row>
    <row r="16" spans="1:11" s="39" customFormat="1" ht="13.8">
      <c r="A16" s="27"/>
      <c r="B16" s="34" t="s">
        <v>18</v>
      </c>
      <c r="C16" s="25"/>
      <c r="D16" s="36"/>
      <c r="E16" s="37"/>
      <c r="F16" s="38"/>
      <c r="G16" s="37"/>
      <c r="H16" s="38"/>
      <c r="I16" s="37"/>
      <c r="J16" s="38"/>
      <c r="K16" s="32"/>
    </row>
    <row r="17" spans="1:11" s="39" customFormat="1" ht="13.8">
      <c r="A17" s="27"/>
      <c r="B17" s="34" t="s">
        <v>22</v>
      </c>
      <c r="C17" s="35" t="s">
        <v>21</v>
      </c>
      <c r="D17" s="36">
        <f>D13*1.02</f>
        <v>15.3</v>
      </c>
      <c r="E17" s="37">
        <f>135/1.18</f>
        <v>114.40677966101696</v>
      </c>
      <c r="F17" s="38">
        <f t="shared" ref="F17:F20" si="3">E17*D17</f>
        <v>1750.4237288135596</v>
      </c>
      <c r="G17" s="37"/>
      <c r="H17" s="38"/>
      <c r="I17" s="37"/>
      <c r="J17" s="38"/>
      <c r="K17" s="32">
        <f t="shared" ref="K17:K20" si="4">J17+H17+F17</f>
        <v>1750.4237288135596</v>
      </c>
    </row>
    <row r="18" spans="1:11" s="39" customFormat="1" ht="13.8">
      <c r="A18" s="27"/>
      <c r="B18" s="34" t="s">
        <v>23</v>
      </c>
      <c r="C18" s="25" t="s">
        <v>24</v>
      </c>
      <c r="D18" s="36">
        <f>(925/1000*0.63)*1.03</f>
        <v>0.60023250000000006</v>
      </c>
      <c r="E18" s="37">
        <f>650*3.5/1.18</f>
        <v>1927.9661016949153</v>
      </c>
      <c r="F18" s="38">
        <f t="shared" si="3"/>
        <v>1157.2279131355933</v>
      </c>
      <c r="G18" s="37"/>
      <c r="H18" s="38"/>
      <c r="I18" s="37"/>
      <c r="J18" s="38"/>
      <c r="K18" s="32">
        <f t="shared" si="4"/>
        <v>1157.2279131355933</v>
      </c>
    </row>
    <row r="19" spans="1:11" s="39" customFormat="1" ht="13.8">
      <c r="A19" s="27"/>
      <c r="B19" s="34" t="s">
        <v>25</v>
      </c>
      <c r="C19" s="35" t="s">
        <v>21</v>
      </c>
      <c r="D19" s="36">
        <f>D13</f>
        <v>15</v>
      </c>
      <c r="E19" s="40">
        <f>30/1.18</f>
        <v>25.423728813559322</v>
      </c>
      <c r="F19" s="38">
        <f t="shared" si="3"/>
        <v>381.35593220338984</v>
      </c>
      <c r="G19" s="40"/>
      <c r="H19" s="38"/>
      <c r="I19" s="40"/>
      <c r="J19" s="38"/>
      <c r="K19" s="32">
        <f t="shared" si="4"/>
        <v>381.35593220338984</v>
      </c>
    </row>
    <row r="20" spans="1:11" s="39" customFormat="1" ht="13.8">
      <c r="A20" s="27"/>
      <c r="B20" s="34" t="s">
        <v>26</v>
      </c>
      <c r="C20" s="25" t="s">
        <v>17</v>
      </c>
      <c r="D20" s="36">
        <f>D13</f>
        <v>15</v>
      </c>
      <c r="E20" s="37">
        <v>3.2</v>
      </c>
      <c r="F20" s="38">
        <f t="shared" si="3"/>
        <v>48</v>
      </c>
      <c r="G20" s="37"/>
      <c r="H20" s="38"/>
      <c r="I20" s="37"/>
      <c r="J20" s="38"/>
      <c r="K20" s="32">
        <f t="shared" si="4"/>
        <v>48</v>
      </c>
    </row>
    <row r="21" spans="1:11" s="33" customFormat="1" ht="27.6">
      <c r="A21" s="27">
        <f>A13+1</f>
        <v>2</v>
      </c>
      <c r="B21" s="28" t="s">
        <v>27</v>
      </c>
      <c r="C21" s="29" t="s">
        <v>21</v>
      </c>
      <c r="D21" s="30">
        <v>3</v>
      </c>
      <c r="E21" s="31"/>
      <c r="F21" s="31"/>
      <c r="G21" s="31"/>
      <c r="H21" s="31"/>
      <c r="I21" s="31"/>
      <c r="J21" s="31"/>
      <c r="K21" s="32"/>
    </row>
    <row r="22" spans="1:11" s="39" customFormat="1" ht="13.8">
      <c r="A22" s="27"/>
      <c r="B22" s="34" t="s">
        <v>14</v>
      </c>
      <c r="C22" s="35" t="s">
        <v>21</v>
      </c>
      <c r="D22" s="36">
        <f>D21</f>
        <v>3</v>
      </c>
      <c r="E22" s="37"/>
      <c r="F22" s="38"/>
      <c r="G22" s="37">
        <f>80*1.3</f>
        <v>104</v>
      </c>
      <c r="H22" s="38">
        <f t="shared" ref="H22" si="5">G22*D22</f>
        <v>312</v>
      </c>
      <c r="I22" s="37"/>
      <c r="J22" s="38"/>
      <c r="K22" s="32">
        <f t="shared" ref="K22:K86" si="6">J22+H22+F22</f>
        <v>312</v>
      </c>
    </row>
    <row r="23" spans="1:11" s="39" customFormat="1" ht="13.8">
      <c r="A23" s="27"/>
      <c r="B23" s="34" t="s">
        <v>16</v>
      </c>
      <c r="C23" s="25" t="s">
        <v>17</v>
      </c>
      <c r="D23" s="36">
        <f>D21</f>
        <v>3</v>
      </c>
      <c r="E23" s="37"/>
      <c r="F23" s="38"/>
      <c r="G23" s="37"/>
      <c r="H23" s="38"/>
      <c r="I23" s="37">
        <v>3.2</v>
      </c>
      <c r="J23" s="38">
        <f t="shared" ref="J23" si="7">I23*D23</f>
        <v>9.6000000000000014</v>
      </c>
      <c r="K23" s="32">
        <f t="shared" si="6"/>
        <v>9.6000000000000014</v>
      </c>
    </row>
    <row r="24" spans="1:11" s="39" customFormat="1" ht="13.8">
      <c r="A24" s="27"/>
      <c r="B24" s="34" t="s">
        <v>18</v>
      </c>
      <c r="C24" s="25"/>
      <c r="D24" s="36"/>
      <c r="E24" s="37"/>
      <c r="F24" s="38"/>
      <c r="G24" s="37"/>
      <c r="H24" s="38"/>
      <c r="I24" s="37"/>
      <c r="J24" s="38"/>
      <c r="K24" s="32"/>
    </row>
    <row r="25" spans="1:11" s="39" customFormat="1" ht="13.8">
      <c r="A25" s="27"/>
      <c r="B25" s="34" t="s">
        <v>22</v>
      </c>
      <c r="C25" s="35" t="s">
        <v>21</v>
      </c>
      <c r="D25" s="36">
        <f>D21*1.02</f>
        <v>3.06</v>
      </c>
      <c r="E25" s="37">
        <f>135/1.18</f>
        <v>114.40677966101696</v>
      </c>
      <c r="F25" s="38">
        <f t="shared" ref="F25:F29" si="8">E25*D25</f>
        <v>350.08474576271186</v>
      </c>
      <c r="G25" s="37"/>
      <c r="H25" s="38"/>
      <c r="I25" s="37"/>
      <c r="J25" s="38"/>
      <c r="K25" s="32">
        <f t="shared" si="6"/>
        <v>350.08474576271186</v>
      </c>
    </row>
    <row r="26" spans="1:11" s="39" customFormat="1" ht="13.8">
      <c r="A26" s="27"/>
      <c r="B26" s="34" t="s">
        <v>23</v>
      </c>
      <c r="C26" s="25" t="s">
        <v>24</v>
      </c>
      <c r="D26" s="36">
        <f>(0.015)*1.03</f>
        <v>1.545E-2</v>
      </c>
      <c r="E26" s="37">
        <f>720*3.5/1.18</f>
        <v>2135.593220338983</v>
      </c>
      <c r="F26" s="38">
        <f t="shared" si="8"/>
        <v>32.994915254237284</v>
      </c>
      <c r="G26" s="37"/>
      <c r="H26" s="38"/>
      <c r="I26" s="37"/>
      <c r="J26" s="38"/>
      <c r="K26" s="32">
        <f t="shared" si="6"/>
        <v>32.994915254237284</v>
      </c>
    </row>
    <row r="27" spans="1:11" s="39" customFormat="1" ht="13.8">
      <c r="A27" s="27"/>
      <c r="B27" s="34" t="s">
        <v>28</v>
      </c>
      <c r="C27" s="25" t="s">
        <v>24</v>
      </c>
      <c r="D27" s="36">
        <f>(0.025)*1.03</f>
        <v>2.5750000000000002E-2</v>
      </c>
      <c r="E27" s="38">
        <f>590*3.5/1.18</f>
        <v>1750</v>
      </c>
      <c r="F27" s="38">
        <f t="shared" si="8"/>
        <v>45.062500000000007</v>
      </c>
      <c r="G27" s="37"/>
      <c r="H27" s="38"/>
      <c r="I27" s="37"/>
      <c r="J27" s="38"/>
      <c r="K27" s="32">
        <f t="shared" si="6"/>
        <v>45.062500000000007</v>
      </c>
    </row>
    <row r="28" spans="1:11" s="39" customFormat="1" ht="13.8">
      <c r="A28" s="27"/>
      <c r="B28" s="34" t="s">
        <v>25</v>
      </c>
      <c r="C28" s="35" t="s">
        <v>21</v>
      </c>
      <c r="D28" s="36">
        <f>D21</f>
        <v>3</v>
      </c>
      <c r="E28" s="40">
        <f>30/1.18</f>
        <v>25.423728813559322</v>
      </c>
      <c r="F28" s="38">
        <f t="shared" si="8"/>
        <v>76.271186440677965</v>
      </c>
      <c r="G28" s="40"/>
      <c r="H28" s="38"/>
      <c r="I28" s="40"/>
      <c r="J28" s="38"/>
      <c r="K28" s="32">
        <f t="shared" si="6"/>
        <v>76.271186440677965</v>
      </c>
    </row>
    <row r="29" spans="1:11" s="39" customFormat="1" ht="13.8">
      <c r="A29" s="27"/>
      <c r="B29" s="34" t="s">
        <v>26</v>
      </c>
      <c r="C29" s="25" t="s">
        <v>17</v>
      </c>
      <c r="D29" s="36">
        <f>D21</f>
        <v>3</v>
      </c>
      <c r="E29" s="37">
        <v>3.2</v>
      </c>
      <c r="F29" s="38">
        <f t="shared" si="8"/>
        <v>9.6000000000000014</v>
      </c>
      <c r="G29" s="37"/>
      <c r="H29" s="38"/>
      <c r="I29" s="37"/>
      <c r="J29" s="38"/>
      <c r="K29" s="32">
        <f t="shared" si="6"/>
        <v>9.6000000000000014</v>
      </c>
    </row>
    <row r="30" spans="1:11" s="33" customFormat="1" ht="27.6">
      <c r="A30" s="27">
        <f>A21+1</f>
        <v>3</v>
      </c>
      <c r="B30" s="28" t="s">
        <v>29</v>
      </c>
      <c r="C30" s="29" t="s">
        <v>21</v>
      </c>
      <c r="D30" s="30">
        <v>15</v>
      </c>
      <c r="E30" s="41"/>
      <c r="F30" s="31"/>
      <c r="G30" s="41"/>
      <c r="H30" s="31"/>
      <c r="I30" s="41"/>
      <c r="J30" s="31"/>
      <c r="K30" s="32"/>
    </row>
    <row r="31" spans="1:11" s="39" customFormat="1" ht="13.8">
      <c r="A31" s="27"/>
      <c r="B31" s="34" t="s">
        <v>14</v>
      </c>
      <c r="C31" s="35" t="s">
        <v>21</v>
      </c>
      <c r="D31" s="36">
        <f>D30</f>
        <v>15</v>
      </c>
      <c r="E31" s="37"/>
      <c r="F31" s="38"/>
      <c r="G31" s="37">
        <v>56.97</v>
      </c>
      <c r="H31" s="38">
        <f>G31*D31</f>
        <v>854.55</v>
      </c>
      <c r="I31" s="37"/>
      <c r="J31" s="38"/>
      <c r="K31" s="32">
        <f t="shared" si="6"/>
        <v>854.55</v>
      </c>
    </row>
    <row r="32" spans="1:11" s="39" customFormat="1" ht="13.8">
      <c r="A32" s="27"/>
      <c r="B32" s="34" t="s">
        <v>16</v>
      </c>
      <c r="C32" s="25" t="s">
        <v>17</v>
      </c>
      <c r="D32" s="36">
        <f>D30*0.92</f>
        <v>13.8</v>
      </c>
      <c r="E32" s="37"/>
      <c r="F32" s="38"/>
      <c r="G32" s="37"/>
      <c r="H32" s="38"/>
      <c r="I32" s="37">
        <v>3.2</v>
      </c>
      <c r="J32" s="38">
        <f>I32*D32</f>
        <v>44.160000000000004</v>
      </c>
      <c r="K32" s="32">
        <f t="shared" si="6"/>
        <v>44.160000000000004</v>
      </c>
    </row>
    <row r="33" spans="1:11" s="39" customFormat="1" ht="13.8">
      <c r="A33" s="27"/>
      <c r="B33" s="34" t="s">
        <v>18</v>
      </c>
      <c r="C33" s="25"/>
      <c r="D33" s="36"/>
      <c r="E33" s="37"/>
      <c r="F33" s="38"/>
      <c r="G33" s="37"/>
      <c r="H33" s="38"/>
      <c r="I33" s="37"/>
      <c r="J33" s="38"/>
      <c r="K33" s="32"/>
    </row>
    <row r="34" spans="1:11" s="39" customFormat="1" ht="13.8">
      <c r="A34" s="27"/>
      <c r="B34" s="34" t="s">
        <v>30</v>
      </c>
      <c r="C34" s="35" t="s">
        <v>31</v>
      </c>
      <c r="D34" s="36">
        <f>D30*64</f>
        <v>960</v>
      </c>
      <c r="E34" s="37">
        <f>1.4/1.18</f>
        <v>1.1864406779661016</v>
      </c>
      <c r="F34" s="38">
        <f>E34*D34</f>
        <v>1138.9830508474577</v>
      </c>
      <c r="G34" s="37"/>
      <c r="H34" s="38"/>
      <c r="I34" s="37"/>
      <c r="J34" s="38"/>
      <c r="K34" s="32">
        <f t="shared" si="6"/>
        <v>1138.9830508474577</v>
      </c>
    </row>
    <row r="35" spans="1:11" s="39" customFormat="1" ht="13.8">
      <c r="A35" s="27"/>
      <c r="B35" s="34" t="s">
        <v>32</v>
      </c>
      <c r="C35" s="35" t="s">
        <v>21</v>
      </c>
      <c r="D35" s="36">
        <f>D30*0.11</f>
        <v>1.65</v>
      </c>
      <c r="E35" s="37">
        <v>105</v>
      </c>
      <c r="F35" s="38">
        <f t="shared" ref="F35:F36" si="9">E35*D35</f>
        <v>173.25</v>
      </c>
      <c r="G35" s="37"/>
      <c r="H35" s="38"/>
      <c r="I35" s="37"/>
      <c r="J35" s="38"/>
      <c r="K35" s="32">
        <f t="shared" si="6"/>
        <v>173.25</v>
      </c>
    </row>
    <row r="36" spans="1:11" s="39" customFormat="1" ht="13.8">
      <c r="A36" s="27"/>
      <c r="B36" s="34" t="s">
        <v>26</v>
      </c>
      <c r="C36" s="25" t="s">
        <v>17</v>
      </c>
      <c r="D36" s="36">
        <f>D30*0.16</f>
        <v>2.4</v>
      </c>
      <c r="E36" s="37">
        <v>3.2</v>
      </c>
      <c r="F36" s="38">
        <f t="shared" si="9"/>
        <v>7.68</v>
      </c>
      <c r="G36" s="37"/>
      <c r="H36" s="38"/>
      <c r="I36" s="37"/>
      <c r="J36" s="38"/>
      <c r="K36" s="32">
        <f t="shared" si="6"/>
        <v>7.68</v>
      </c>
    </row>
    <row r="37" spans="1:11" s="33" customFormat="1" ht="27.6">
      <c r="A37" s="27">
        <f>A30+1</f>
        <v>4</v>
      </c>
      <c r="B37" s="28" t="s">
        <v>33</v>
      </c>
      <c r="C37" s="29" t="s">
        <v>21</v>
      </c>
      <c r="D37" s="30">
        <v>7</v>
      </c>
      <c r="E37" s="31"/>
      <c r="F37" s="31"/>
      <c r="G37" s="31"/>
      <c r="H37" s="31"/>
      <c r="I37" s="31"/>
      <c r="J37" s="31"/>
      <c r="K37" s="32"/>
    </row>
    <row r="38" spans="1:11" s="39" customFormat="1" ht="13.8">
      <c r="A38" s="27"/>
      <c r="B38" s="34" t="s">
        <v>14</v>
      </c>
      <c r="C38" s="35" t="s">
        <v>21</v>
      </c>
      <c r="D38" s="36">
        <f>D37</f>
        <v>7</v>
      </c>
      <c r="E38" s="37"/>
      <c r="F38" s="38"/>
      <c r="G38" s="37">
        <f>80*1.3</f>
        <v>104</v>
      </c>
      <c r="H38" s="38">
        <f t="shared" ref="H38" si="10">G38*D38</f>
        <v>728</v>
      </c>
      <c r="I38" s="37"/>
      <c r="J38" s="38"/>
      <c r="K38" s="32">
        <f t="shared" si="6"/>
        <v>728</v>
      </c>
    </row>
    <row r="39" spans="1:11" s="39" customFormat="1" ht="13.8">
      <c r="A39" s="27"/>
      <c r="B39" s="34" t="s">
        <v>16</v>
      </c>
      <c r="C39" s="25" t="s">
        <v>17</v>
      </c>
      <c r="D39" s="36">
        <f>D37</f>
        <v>7</v>
      </c>
      <c r="E39" s="37"/>
      <c r="F39" s="38"/>
      <c r="G39" s="37"/>
      <c r="H39" s="38"/>
      <c r="I39" s="37">
        <v>3.2</v>
      </c>
      <c r="J39" s="38">
        <f t="shared" ref="J39" si="11">I39*D39</f>
        <v>22.400000000000002</v>
      </c>
      <c r="K39" s="32">
        <f t="shared" si="6"/>
        <v>22.400000000000002</v>
      </c>
    </row>
    <row r="40" spans="1:11" s="39" customFormat="1" ht="13.8">
      <c r="A40" s="27"/>
      <c r="B40" s="34" t="s">
        <v>18</v>
      </c>
      <c r="C40" s="25"/>
      <c r="D40" s="36"/>
      <c r="E40" s="37"/>
      <c r="F40" s="38"/>
      <c r="G40" s="37"/>
      <c r="H40" s="38"/>
      <c r="I40" s="37"/>
      <c r="J40" s="38"/>
      <c r="K40" s="32"/>
    </row>
    <row r="41" spans="1:11" s="39" customFormat="1" ht="13.8">
      <c r="A41" s="27"/>
      <c r="B41" s="34" t="s">
        <v>22</v>
      </c>
      <c r="C41" s="35" t="s">
        <v>21</v>
      </c>
      <c r="D41" s="36">
        <f>D37*1.02</f>
        <v>7.1400000000000006</v>
      </c>
      <c r="E41" s="37">
        <f>E25</f>
        <v>114.40677966101696</v>
      </c>
      <c r="F41" s="38">
        <f t="shared" ref="F41:F45" si="12">E41*D41</f>
        <v>816.86440677966118</v>
      </c>
      <c r="G41" s="37"/>
      <c r="H41" s="38"/>
      <c r="I41" s="37"/>
      <c r="J41" s="38"/>
      <c r="K41" s="32">
        <f t="shared" si="6"/>
        <v>816.86440677966118</v>
      </c>
    </row>
    <row r="42" spans="1:11" s="39" customFormat="1" ht="13.8">
      <c r="A42" s="27"/>
      <c r="B42" s="34" t="s">
        <v>23</v>
      </c>
      <c r="C42" s="25" t="s">
        <v>24</v>
      </c>
      <c r="D42" s="36">
        <f>0.08*1.03</f>
        <v>8.2400000000000001E-2</v>
      </c>
      <c r="E42" s="37">
        <f>E26</f>
        <v>2135.593220338983</v>
      </c>
      <c r="F42" s="38">
        <f t="shared" si="12"/>
        <v>175.9728813559322</v>
      </c>
      <c r="G42" s="37"/>
      <c r="H42" s="38"/>
      <c r="I42" s="37"/>
      <c r="J42" s="38"/>
      <c r="K42" s="32">
        <f t="shared" si="6"/>
        <v>175.9728813559322</v>
      </c>
    </row>
    <row r="43" spans="1:11" s="39" customFormat="1" ht="13.8">
      <c r="A43" s="27"/>
      <c r="B43" s="34" t="s">
        <v>28</v>
      </c>
      <c r="C43" s="25" t="s">
        <v>24</v>
      </c>
      <c r="D43" s="36">
        <f>0.22*1.03</f>
        <v>0.2266</v>
      </c>
      <c r="E43" s="38">
        <f>E27</f>
        <v>1750</v>
      </c>
      <c r="F43" s="38">
        <f t="shared" si="12"/>
        <v>396.55</v>
      </c>
      <c r="G43" s="37"/>
      <c r="H43" s="38"/>
      <c r="I43" s="37"/>
      <c r="J43" s="38"/>
      <c r="K43" s="32">
        <f t="shared" si="6"/>
        <v>396.55</v>
      </c>
    </row>
    <row r="44" spans="1:11" s="39" customFormat="1" ht="13.8">
      <c r="A44" s="27"/>
      <c r="B44" s="34" t="s">
        <v>25</v>
      </c>
      <c r="C44" s="35" t="s">
        <v>21</v>
      </c>
      <c r="D44" s="36">
        <f>D37</f>
        <v>7</v>
      </c>
      <c r="E44" s="40">
        <f>30/1.18</f>
        <v>25.423728813559322</v>
      </c>
      <c r="F44" s="38">
        <f t="shared" si="12"/>
        <v>177.96610169491527</v>
      </c>
      <c r="G44" s="40"/>
      <c r="H44" s="38"/>
      <c r="I44" s="40"/>
      <c r="J44" s="38"/>
      <c r="K44" s="32">
        <f t="shared" si="6"/>
        <v>177.96610169491527</v>
      </c>
    </row>
    <row r="45" spans="1:11" s="39" customFormat="1" ht="13.8">
      <c r="A45" s="42"/>
      <c r="B45" s="43" t="s">
        <v>26</v>
      </c>
      <c r="C45" s="44" t="s">
        <v>17</v>
      </c>
      <c r="D45" s="45">
        <f>D37</f>
        <v>7</v>
      </c>
      <c r="E45" s="46">
        <v>3.2</v>
      </c>
      <c r="F45" s="47">
        <f t="shared" si="12"/>
        <v>22.400000000000002</v>
      </c>
      <c r="G45" s="46"/>
      <c r="H45" s="47"/>
      <c r="I45" s="46"/>
      <c r="J45" s="47"/>
      <c r="K45" s="32">
        <f t="shared" si="6"/>
        <v>22.400000000000002</v>
      </c>
    </row>
    <row r="46" spans="1:11" s="33" customFormat="1" ht="13.8">
      <c r="A46" s="27">
        <f>A37+1</f>
        <v>5</v>
      </c>
      <c r="B46" s="124" t="s">
        <v>34</v>
      </c>
      <c r="C46" s="23" t="s">
        <v>13</v>
      </c>
      <c r="D46" s="30">
        <v>150</v>
      </c>
      <c r="E46" s="41"/>
      <c r="F46" s="31"/>
      <c r="G46" s="41"/>
      <c r="H46" s="31"/>
      <c r="I46" s="41"/>
      <c r="J46" s="31"/>
      <c r="K46" s="32"/>
    </row>
    <row r="47" spans="1:11" s="39" customFormat="1" ht="15">
      <c r="A47" s="27"/>
      <c r="B47" s="48" t="s">
        <v>14</v>
      </c>
      <c r="C47" s="25" t="s">
        <v>15</v>
      </c>
      <c r="D47" s="36">
        <f>D46</f>
        <v>150</v>
      </c>
      <c r="E47" s="37"/>
      <c r="F47" s="38"/>
      <c r="G47" s="37">
        <f>8*1.3</f>
        <v>10.4</v>
      </c>
      <c r="H47" s="38">
        <f>G47*D47</f>
        <v>1560</v>
      </c>
      <c r="I47" s="37"/>
      <c r="J47" s="38"/>
      <c r="K47" s="32">
        <f t="shared" si="6"/>
        <v>1560</v>
      </c>
    </row>
    <row r="48" spans="1:11" s="39" customFormat="1" ht="15">
      <c r="A48" s="27"/>
      <c r="B48" s="48" t="s">
        <v>16</v>
      </c>
      <c r="C48" s="25" t="s">
        <v>17</v>
      </c>
      <c r="D48" s="36">
        <f>D46*0.041</f>
        <v>6.15</v>
      </c>
      <c r="E48" s="37"/>
      <c r="F48" s="38"/>
      <c r="G48" s="37"/>
      <c r="H48" s="38"/>
      <c r="I48" s="37">
        <v>3.2</v>
      </c>
      <c r="J48" s="38">
        <f>I48*D48</f>
        <v>19.680000000000003</v>
      </c>
      <c r="K48" s="32">
        <f t="shared" si="6"/>
        <v>19.680000000000003</v>
      </c>
    </row>
    <row r="49" spans="1:13" s="39" customFormat="1" ht="15">
      <c r="A49" s="27"/>
      <c r="B49" s="48" t="s">
        <v>18</v>
      </c>
      <c r="C49" s="25"/>
      <c r="D49" s="36"/>
      <c r="E49" s="37"/>
      <c r="F49" s="38"/>
      <c r="G49" s="37"/>
      <c r="H49" s="38"/>
      <c r="I49" s="37"/>
      <c r="J49" s="38"/>
      <c r="K49" s="32"/>
    </row>
    <row r="50" spans="1:13" s="50" customFormat="1" ht="15">
      <c r="A50" s="49"/>
      <c r="B50" s="48" t="s">
        <v>35</v>
      </c>
      <c r="C50" s="25" t="s">
        <v>15</v>
      </c>
      <c r="D50" s="36">
        <f>D46*1.05</f>
        <v>157.5</v>
      </c>
      <c r="E50" s="37">
        <f>17/1.18</f>
        <v>14.40677966101695</v>
      </c>
      <c r="F50" s="38">
        <f>E50*D50</f>
        <v>2269.0677966101698</v>
      </c>
      <c r="G50" s="37"/>
      <c r="H50" s="38"/>
      <c r="I50" s="37"/>
      <c r="J50" s="38"/>
      <c r="K50" s="32">
        <f t="shared" si="6"/>
        <v>2269.0677966101698</v>
      </c>
    </row>
    <row r="51" spans="1:13" s="130" customFormat="1" ht="13.8">
      <c r="A51" s="49"/>
      <c r="B51" s="129" t="s">
        <v>147</v>
      </c>
      <c r="C51" s="35" t="s">
        <v>21</v>
      </c>
      <c r="D51" s="36">
        <f>1*1.1</f>
        <v>1.1000000000000001</v>
      </c>
      <c r="E51" s="37">
        <f>750/1.18</f>
        <v>635.59322033898309</v>
      </c>
      <c r="F51" s="38">
        <f>E51*D51</f>
        <v>699.1525423728815</v>
      </c>
      <c r="G51" s="37"/>
      <c r="H51" s="38"/>
      <c r="I51" s="37"/>
      <c r="J51" s="38"/>
      <c r="K51" s="32">
        <f t="shared" si="6"/>
        <v>699.1525423728815</v>
      </c>
    </row>
    <row r="52" spans="1:13" s="39" customFormat="1" ht="15">
      <c r="A52" s="27"/>
      <c r="B52" s="48" t="s">
        <v>36</v>
      </c>
      <c r="C52" s="25" t="s">
        <v>31</v>
      </c>
      <c r="D52" s="36">
        <f>D46*6</f>
        <v>900</v>
      </c>
      <c r="E52" s="37">
        <f>0.35</f>
        <v>0.35</v>
      </c>
      <c r="F52" s="38">
        <f t="shared" ref="F52:F53" si="13">E52*D52</f>
        <v>315</v>
      </c>
      <c r="G52" s="37"/>
      <c r="H52" s="38"/>
      <c r="I52" s="37"/>
      <c r="J52" s="38"/>
      <c r="K52" s="32">
        <f t="shared" si="6"/>
        <v>315</v>
      </c>
    </row>
    <row r="53" spans="1:13" s="39" customFormat="1" ht="15">
      <c r="A53" s="27"/>
      <c r="B53" s="48" t="s">
        <v>26</v>
      </c>
      <c r="C53" s="25" t="s">
        <v>17</v>
      </c>
      <c r="D53" s="36">
        <f>D46*0.078</f>
        <v>11.7</v>
      </c>
      <c r="E53" s="37">
        <v>3.2</v>
      </c>
      <c r="F53" s="38">
        <f t="shared" si="13"/>
        <v>37.44</v>
      </c>
      <c r="G53" s="37"/>
      <c r="H53" s="38"/>
      <c r="I53" s="37"/>
      <c r="J53" s="38"/>
      <c r="K53" s="32">
        <f t="shared" si="6"/>
        <v>37.44</v>
      </c>
    </row>
    <row r="54" spans="1:13" s="33" customFormat="1" ht="27.6">
      <c r="A54" s="51">
        <f>A46+1</f>
        <v>6</v>
      </c>
      <c r="B54" s="52" t="s">
        <v>109</v>
      </c>
      <c r="C54" s="53" t="s">
        <v>21</v>
      </c>
      <c r="D54" s="125">
        <v>513.10199999999998</v>
      </c>
      <c r="E54" s="54"/>
      <c r="F54" s="55"/>
      <c r="G54" s="54"/>
      <c r="H54" s="55"/>
      <c r="I54" s="54"/>
      <c r="J54" s="55"/>
      <c r="K54" s="32"/>
    </row>
    <row r="55" spans="1:13" s="39" customFormat="1" ht="13.8">
      <c r="A55" s="27"/>
      <c r="B55" s="34" t="s">
        <v>14</v>
      </c>
      <c r="C55" s="35" t="s">
        <v>21</v>
      </c>
      <c r="D55" s="36">
        <f>D54</f>
        <v>513.10199999999998</v>
      </c>
      <c r="E55" s="37"/>
      <c r="F55" s="38"/>
      <c r="G55" s="37">
        <v>44</v>
      </c>
      <c r="H55" s="38">
        <f>G55*D55</f>
        <v>22576.487999999998</v>
      </c>
      <c r="I55" s="37"/>
      <c r="J55" s="38"/>
      <c r="K55" s="32">
        <f t="shared" si="6"/>
        <v>22576.487999999998</v>
      </c>
    </row>
    <row r="56" spans="1:13" s="39" customFormat="1" ht="13.8">
      <c r="A56" s="27"/>
      <c r="B56" s="34" t="s">
        <v>16</v>
      </c>
      <c r="C56" s="25" t="s">
        <v>17</v>
      </c>
      <c r="D56" s="36">
        <f>D54*0.92</f>
        <v>472.05383999999998</v>
      </c>
      <c r="E56" s="37"/>
      <c r="F56" s="38"/>
      <c r="G56" s="37"/>
      <c r="H56" s="38"/>
      <c r="I56" s="37">
        <v>3.2</v>
      </c>
      <c r="J56" s="38">
        <f>I56*D56</f>
        <v>1510.5722880000001</v>
      </c>
      <c r="K56" s="32">
        <f t="shared" si="6"/>
        <v>1510.5722880000001</v>
      </c>
    </row>
    <row r="57" spans="1:13" s="39" customFormat="1" ht="13.8">
      <c r="A57" s="27"/>
      <c r="B57" s="34" t="s">
        <v>18</v>
      </c>
      <c r="C57" s="25"/>
      <c r="D57" s="36"/>
      <c r="E57" s="37"/>
      <c r="F57" s="38"/>
      <c r="G57" s="37"/>
      <c r="H57" s="38"/>
      <c r="I57" s="37"/>
      <c r="J57" s="38"/>
      <c r="K57" s="32">
        <f t="shared" si="6"/>
        <v>0</v>
      </c>
    </row>
    <row r="58" spans="1:13" s="39" customFormat="1" ht="13.8">
      <c r="A58" s="27"/>
      <c r="B58" s="34" t="s">
        <v>148</v>
      </c>
      <c r="C58" s="35" t="s">
        <v>31</v>
      </c>
      <c r="D58" s="36">
        <f>D54*44</f>
        <v>22576.487999999998</v>
      </c>
      <c r="E58" s="37">
        <f>2.15/1.18</f>
        <v>1.8220338983050848</v>
      </c>
      <c r="F58" s="38">
        <f>E58*D58</f>
        <v>41135.126440677959</v>
      </c>
      <c r="G58" s="37"/>
      <c r="H58" s="38"/>
      <c r="I58" s="37"/>
      <c r="J58" s="38"/>
      <c r="K58" s="32">
        <f t="shared" si="6"/>
        <v>41135.126440677959</v>
      </c>
      <c r="M58" s="39">
        <f>5000*130</f>
        <v>650000</v>
      </c>
    </row>
    <row r="59" spans="1:13" s="39" customFormat="1" ht="13.8">
      <c r="A59" s="27"/>
      <c r="B59" s="34" t="s">
        <v>32</v>
      </c>
      <c r="C59" s="35" t="s">
        <v>21</v>
      </c>
      <c r="D59" s="36">
        <f>D54*0.11</f>
        <v>56.441219999999994</v>
      </c>
      <c r="E59" s="37">
        <v>105</v>
      </c>
      <c r="F59" s="38">
        <f t="shared" ref="F59:F60" si="14">E59*D59</f>
        <v>5926.3280999999997</v>
      </c>
      <c r="G59" s="37"/>
      <c r="H59" s="38"/>
      <c r="I59" s="37"/>
      <c r="J59" s="38"/>
      <c r="K59" s="32">
        <f t="shared" si="6"/>
        <v>5926.3280999999997</v>
      </c>
    </row>
    <row r="60" spans="1:13" s="39" customFormat="1" ht="13.8">
      <c r="A60" s="27"/>
      <c r="B60" s="34" t="s">
        <v>26</v>
      </c>
      <c r="C60" s="25" t="s">
        <v>17</v>
      </c>
      <c r="D60" s="36">
        <f>D54*0.16</f>
        <v>82.096319999999992</v>
      </c>
      <c r="E60" s="37">
        <v>3.2</v>
      </c>
      <c r="F60" s="38">
        <f t="shared" si="14"/>
        <v>262.70822399999997</v>
      </c>
      <c r="G60" s="37"/>
      <c r="H60" s="38"/>
      <c r="I60" s="37"/>
      <c r="J60" s="38"/>
      <c r="K60" s="32">
        <f t="shared" si="6"/>
        <v>262.70822399999997</v>
      </c>
    </row>
    <row r="61" spans="1:13" s="33" customFormat="1" ht="27.6">
      <c r="A61" s="27">
        <f>A54+1</f>
        <v>7</v>
      </c>
      <c r="B61" s="28" t="s">
        <v>37</v>
      </c>
      <c r="C61" s="23" t="s">
        <v>13</v>
      </c>
      <c r="D61" s="30">
        <v>1850</v>
      </c>
      <c r="E61" s="41"/>
      <c r="F61" s="31"/>
      <c r="G61" s="41"/>
      <c r="H61" s="31"/>
      <c r="I61" s="41"/>
      <c r="J61" s="31"/>
      <c r="K61" s="32">
        <f t="shared" si="6"/>
        <v>0</v>
      </c>
    </row>
    <row r="62" spans="1:13" s="39" customFormat="1" ht="13.8">
      <c r="A62" s="27"/>
      <c r="B62" s="34" t="s">
        <v>14</v>
      </c>
      <c r="C62" s="25" t="s">
        <v>15</v>
      </c>
      <c r="D62" s="36">
        <f>2210+36+15+168.45</f>
        <v>2429.4499999999998</v>
      </c>
      <c r="E62" s="37"/>
      <c r="F62" s="38"/>
      <c r="G62" s="37">
        <f>12/0.8/0.96</f>
        <v>15.625</v>
      </c>
      <c r="H62" s="38">
        <f>G62*D62</f>
        <v>37960.15625</v>
      </c>
      <c r="I62" s="37"/>
      <c r="J62" s="38"/>
      <c r="K62" s="32">
        <f t="shared" si="6"/>
        <v>37960.15625</v>
      </c>
    </row>
    <row r="63" spans="1:13" s="39" customFormat="1" ht="13.8">
      <c r="A63" s="27"/>
      <c r="B63" s="34" t="s">
        <v>16</v>
      </c>
      <c r="C63" s="25" t="s">
        <v>17</v>
      </c>
      <c r="D63" s="36">
        <f>D61*0.07</f>
        <v>129.5</v>
      </c>
      <c r="E63" s="37"/>
      <c r="F63" s="38"/>
      <c r="G63" s="37"/>
      <c r="I63" s="37">
        <v>3.2</v>
      </c>
      <c r="J63" s="38">
        <f>I63*D63</f>
        <v>414.40000000000003</v>
      </c>
      <c r="K63" s="32">
        <f t="shared" si="6"/>
        <v>414.40000000000003</v>
      </c>
    </row>
    <row r="64" spans="1:13" s="39" customFormat="1" ht="13.8">
      <c r="A64" s="27"/>
      <c r="B64" s="34" t="s">
        <v>18</v>
      </c>
      <c r="C64" s="25"/>
      <c r="D64" s="36"/>
      <c r="E64" s="37"/>
      <c r="F64" s="38"/>
      <c r="G64" s="37"/>
      <c r="H64" s="38"/>
      <c r="I64" s="37"/>
      <c r="J64" s="38"/>
      <c r="K64" s="32">
        <f t="shared" si="6"/>
        <v>0</v>
      </c>
    </row>
    <row r="65" spans="1:11" s="39" customFormat="1" ht="13.8">
      <c r="A65" s="27"/>
      <c r="B65" s="34" t="s">
        <v>38</v>
      </c>
      <c r="C65" s="35" t="s">
        <v>21</v>
      </c>
      <c r="D65" s="36">
        <f>D61*0.06</f>
        <v>111</v>
      </c>
      <c r="E65" s="37">
        <v>105</v>
      </c>
      <c r="F65" s="38">
        <f>E65*D65</f>
        <v>11655</v>
      </c>
      <c r="G65" s="37"/>
      <c r="H65" s="38"/>
      <c r="I65" s="37"/>
      <c r="J65" s="38"/>
      <c r="K65" s="32">
        <f t="shared" si="6"/>
        <v>11655</v>
      </c>
    </row>
    <row r="66" spans="1:11" s="39" customFormat="1" ht="13.8">
      <c r="A66" s="27"/>
      <c r="B66" s="34" t="s">
        <v>39</v>
      </c>
      <c r="C66" s="25" t="s">
        <v>15</v>
      </c>
      <c r="D66" s="36">
        <f>D61*1.08</f>
        <v>1998.0000000000002</v>
      </c>
      <c r="E66" s="37">
        <f>2.4/1.18</f>
        <v>2.0338983050847457</v>
      </c>
      <c r="F66" s="38">
        <f t="shared" ref="F66:F67" si="15">E66*D66</f>
        <v>4063.7288135593221</v>
      </c>
      <c r="G66" s="37"/>
      <c r="H66" s="38"/>
      <c r="I66" s="37"/>
      <c r="J66" s="38"/>
      <c r="K66" s="32">
        <f t="shared" si="6"/>
        <v>4063.7288135593221</v>
      </c>
    </row>
    <row r="67" spans="1:11" s="39" customFormat="1" ht="13.8">
      <c r="A67" s="27"/>
      <c r="B67" s="34" t="s">
        <v>26</v>
      </c>
      <c r="C67" s="25" t="s">
        <v>17</v>
      </c>
      <c r="D67" s="36">
        <f>D61*0.03</f>
        <v>55.5</v>
      </c>
      <c r="E67" s="37">
        <v>3.2</v>
      </c>
      <c r="F67" s="38">
        <f t="shared" si="15"/>
        <v>177.60000000000002</v>
      </c>
      <c r="G67" s="37"/>
      <c r="H67" s="38"/>
      <c r="I67" s="37"/>
      <c r="J67" s="38"/>
      <c r="K67" s="32">
        <f t="shared" si="6"/>
        <v>177.60000000000002</v>
      </c>
    </row>
    <row r="68" spans="1:11" s="33" customFormat="1" ht="31.5" customHeight="1">
      <c r="A68" s="27">
        <f>A61+1</f>
        <v>8</v>
      </c>
      <c r="B68" s="28" t="s">
        <v>110</v>
      </c>
      <c r="C68" s="23" t="s">
        <v>13</v>
      </c>
      <c r="D68" s="30">
        <f>D61</f>
        <v>1850</v>
      </c>
      <c r="E68" s="41"/>
      <c r="F68" s="31"/>
      <c r="G68" s="41"/>
      <c r="H68" s="31"/>
      <c r="I68" s="41"/>
      <c r="J68" s="31"/>
      <c r="K68" s="56"/>
    </row>
    <row r="69" spans="1:11" s="39" customFormat="1" ht="13.8">
      <c r="A69" s="27"/>
      <c r="B69" s="34" t="s">
        <v>14</v>
      </c>
      <c r="C69" s="25" t="s">
        <v>15</v>
      </c>
      <c r="D69" s="36">
        <f>D62</f>
        <v>2429.4499999999998</v>
      </c>
      <c r="E69" s="37"/>
      <c r="F69" s="38"/>
      <c r="G69" s="37">
        <f>15/0.8/0.96</f>
        <v>19.53125</v>
      </c>
      <c r="H69" s="38">
        <f>G69*D69</f>
        <v>47450.1953125</v>
      </c>
      <c r="I69" s="37"/>
      <c r="J69" s="38"/>
      <c r="K69" s="32">
        <f>J69+H69+F69</f>
        <v>47450.1953125</v>
      </c>
    </row>
    <row r="70" spans="1:11" s="39" customFormat="1" ht="13.8">
      <c r="A70" s="27"/>
      <c r="B70" s="34" t="s">
        <v>16</v>
      </c>
      <c r="C70" s="25" t="s">
        <v>17</v>
      </c>
      <c r="D70" s="36">
        <f>D68*0.02</f>
        <v>37</v>
      </c>
      <c r="E70" s="37"/>
      <c r="F70" s="38"/>
      <c r="G70" s="37"/>
      <c r="H70" s="38"/>
      <c r="I70" s="37">
        <v>3.2</v>
      </c>
      <c r="J70" s="38">
        <f>I70*D70</f>
        <v>118.4</v>
      </c>
      <c r="K70" s="32">
        <f t="shared" ref="K70:K79" si="16">J70+H70+F70</f>
        <v>118.4</v>
      </c>
    </row>
    <row r="71" spans="1:11" s="39" customFormat="1" ht="13.8">
      <c r="A71" s="27"/>
      <c r="B71" s="34" t="s">
        <v>18</v>
      </c>
      <c r="C71" s="25"/>
      <c r="D71" s="36"/>
      <c r="E71" s="37"/>
      <c r="F71" s="38"/>
      <c r="G71" s="37"/>
      <c r="H71" s="38"/>
      <c r="I71" s="37"/>
      <c r="J71" s="38"/>
      <c r="K71" s="32"/>
    </row>
    <row r="72" spans="1:11" s="39" customFormat="1" ht="13.8">
      <c r="A72" s="27"/>
      <c r="B72" s="34" t="s">
        <v>111</v>
      </c>
      <c r="C72" s="35" t="s">
        <v>112</v>
      </c>
      <c r="D72" s="36">
        <f>D68*0.2</f>
        <v>370</v>
      </c>
      <c r="E72" s="37">
        <f>6/1.18</f>
        <v>5.0847457627118651</v>
      </c>
      <c r="F72" s="38">
        <f>E72*D72</f>
        <v>1881.35593220339</v>
      </c>
      <c r="G72" s="37"/>
      <c r="H72" s="38"/>
      <c r="I72" s="37"/>
      <c r="J72" s="38"/>
      <c r="K72" s="32">
        <f t="shared" si="16"/>
        <v>1881.35593220339</v>
      </c>
    </row>
    <row r="73" spans="1:11" s="39" customFormat="1" ht="13.8">
      <c r="A73" s="27"/>
      <c r="B73" s="34" t="s">
        <v>113</v>
      </c>
      <c r="C73" s="25" t="s">
        <v>19</v>
      </c>
      <c r="D73" s="36">
        <f>D68*7.5</f>
        <v>13875</v>
      </c>
      <c r="E73" s="37">
        <f>0.9/1.18</f>
        <v>0.76271186440677974</v>
      </c>
      <c r="F73" s="38">
        <f t="shared" ref="F73:F79" si="17">E73*D73</f>
        <v>10582.627118644068</v>
      </c>
      <c r="G73" s="37"/>
      <c r="H73" s="38"/>
      <c r="I73" s="37"/>
      <c r="J73" s="38"/>
      <c r="K73" s="32">
        <f t="shared" si="16"/>
        <v>10582.627118644068</v>
      </c>
    </row>
    <row r="74" spans="1:11" s="39" customFormat="1" ht="13.8">
      <c r="A74" s="27"/>
      <c r="B74" s="34" t="s">
        <v>114</v>
      </c>
      <c r="C74" s="25" t="s">
        <v>65</v>
      </c>
      <c r="D74" s="36">
        <f>D68*0.3</f>
        <v>555</v>
      </c>
      <c r="E74" s="37">
        <f>7/1.18</f>
        <v>5.9322033898305087</v>
      </c>
      <c r="F74" s="38">
        <f t="shared" si="17"/>
        <v>3292.3728813559323</v>
      </c>
      <c r="G74" s="37"/>
      <c r="H74" s="38"/>
      <c r="I74" s="37"/>
      <c r="J74" s="38"/>
      <c r="K74" s="32">
        <f t="shared" si="16"/>
        <v>3292.3728813559323</v>
      </c>
    </row>
    <row r="75" spans="1:11" s="39" customFormat="1" ht="13.8">
      <c r="A75" s="27"/>
      <c r="B75" s="34" t="s">
        <v>115</v>
      </c>
      <c r="C75" s="25" t="s">
        <v>15</v>
      </c>
      <c r="D75" s="36">
        <f>D68*1.1</f>
        <v>2035.0000000000002</v>
      </c>
      <c r="E75" s="37">
        <f>3/1.18</f>
        <v>2.5423728813559325</v>
      </c>
      <c r="F75" s="38">
        <f t="shared" si="17"/>
        <v>5173.7288135593235</v>
      </c>
      <c r="G75" s="37"/>
      <c r="H75" s="38"/>
      <c r="I75" s="37"/>
      <c r="J75" s="38"/>
      <c r="K75" s="32">
        <f t="shared" si="16"/>
        <v>5173.7288135593235</v>
      </c>
    </row>
    <row r="76" spans="1:11" s="39" customFormat="1" ht="13.8">
      <c r="A76" s="27"/>
      <c r="B76" s="34" t="s">
        <v>116</v>
      </c>
      <c r="C76" s="25" t="s">
        <v>19</v>
      </c>
      <c r="D76" s="36">
        <f>D68*0.25</f>
        <v>462.5</v>
      </c>
      <c r="E76" s="37">
        <f>6/1.18</f>
        <v>5.0847457627118651</v>
      </c>
      <c r="F76" s="38">
        <f t="shared" si="17"/>
        <v>2351.6949152542375</v>
      </c>
      <c r="G76" s="37"/>
      <c r="H76" s="38"/>
      <c r="I76" s="37"/>
      <c r="J76" s="38"/>
      <c r="K76" s="32">
        <f t="shared" si="16"/>
        <v>2351.6949152542375</v>
      </c>
    </row>
    <row r="77" spans="1:11" s="39" customFormat="1" ht="13.8">
      <c r="A77" s="27"/>
      <c r="B77" s="34" t="s">
        <v>117</v>
      </c>
      <c r="C77" s="25" t="s">
        <v>19</v>
      </c>
      <c r="D77" s="36">
        <f>D68*4</f>
        <v>7400</v>
      </c>
      <c r="E77" s="37">
        <f>2/1.18</f>
        <v>1.6949152542372883</v>
      </c>
      <c r="F77" s="38">
        <f t="shared" si="17"/>
        <v>12542.372881355934</v>
      </c>
      <c r="G77" s="37"/>
      <c r="H77" s="38"/>
      <c r="I77" s="37"/>
      <c r="J77" s="38"/>
      <c r="K77" s="32">
        <f t="shared" si="16"/>
        <v>12542.372881355934</v>
      </c>
    </row>
    <row r="78" spans="1:11" s="39" customFormat="1" ht="13.8">
      <c r="A78" s="27"/>
      <c r="B78" s="34" t="s">
        <v>118</v>
      </c>
      <c r="C78" s="25" t="s">
        <v>112</v>
      </c>
      <c r="D78" s="36">
        <f>D68*0.65</f>
        <v>1202.5</v>
      </c>
      <c r="E78" s="37">
        <f>240/20/1.18</f>
        <v>10.16949152542373</v>
      </c>
      <c r="F78" s="38">
        <f t="shared" si="17"/>
        <v>12228.813559322036</v>
      </c>
      <c r="G78" s="37"/>
      <c r="H78" s="38"/>
      <c r="I78" s="37"/>
      <c r="J78" s="38"/>
      <c r="K78" s="32">
        <f t="shared" si="16"/>
        <v>12228.813559322036</v>
      </c>
    </row>
    <row r="79" spans="1:11" s="39" customFormat="1" ht="13.8">
      <c r="A79" s="27"/>
      <c r="B79" s="34" t="s">
        <v>26</v>
      </c>
      <c r="C79" s="25" t="s">
        <v>17</v>
      </c>
      <c r="D79" s="36">
        <f>D68*0.6</f>
        <v>1110</v>
      </c>
      <c r="E79" s="37">
        <v>3.2</v>
      </c>
      <c r="F79" s="38">
        <f t="shared" si="17"/>
        <v>3552</v>
      </c>
      <c r="G79" s="37"/>
      <c r="H79" s="38"/>
      <c r="I79" s="37"/>
      <c r="J79" s="38"/>
      <c r="K79" s="32">
        <f t="shared" si="16"/>
        <v>3552</v>
      </c>
    </row>
    <row r="80" spans="1:11" s="33" customFormat="1" ht="27.6">
      <c r="A80" s="27">
        <f>A68+1</f>
        <v>9</v>
      </c>
      <c r="B80" s="28" t="s">
        <v>41</v>
      </c>
      <c r="C80" s="23" t="s">
        <v>13</v>
      </c>
      <c r="D80" s="30">
        <v>3226</v>
      </c>
      <c r="E80" s="41"/>
      <c r="F80" s="31"/>
      <c r="G80" s="41"/>
      <c r="H80" s="57"/>
      <c r="I80" s="41"/>
      <c r="J80" s="31"/>
      <c r="K80" s="32"/>
    </row>
    <row r="81" spans="1:11" s="39" customFormat="1" ht="13.8">
      <c r="A81" s="27"/>
      <c r="B81" s="34" t="s">
        <v>14</v>
      </c>
      <c r="C81" s="25" t="s">
        <v>15</v>
      </c>
      <c r="D81" s="36">
        <f>D80</f>
        <v>3226</v>
      </c>
      <c r="E81" s="37"/>
      <c r="F81" s="38"/>
      <c r="G81" s="37">
        <f>6/0.8/0.96</f>
        <v>7.8125</v>
      </c>
      <c r="H81" s="38">
        <f>G81*D81</f>
        <v>25203.125</v>
      </c>
      <c r="I81" s="37"/>
      <c r="J81" s="38"/>
      <c r="K81" s="32">
        <f t="shared" si="6"/>
        <v>25203.125</v>
      </c>
    </row>
    <row r="82" spans="1:11" s="39" customFormat="1" ht="13.8">
      <c r="A82" s="27"/>
      <c r="B82" s="34" t="s">
        <v>16</v>
      </c>
      <c r="C82" s="25" t="s">
        <v>17</v>
      </c>
      <c r="D82" s="36">
        <f>D80*0.0187</f>
        <v>60.326200000000007</v>
      </c>
      <c r="E82" s="37"/>
      <c r="F82" s="38"/>
      <c r="G82" s="37"/>
      <c r="H82" s="58"/>
      <c r="I82" s="37">
        <v>3.2</v>
      </c>
      <c r="J82" s="38">
        <f>I82*D82</f>
        <v>193.04384000000005</v>
      </c>
      <c r="K82" s="32">
        <f t="shared" si="6"/>
        <v>193.04384000000005</v>
      </c>
    </row>
    <row r="83" spans="1:11" s="39" customFormat="1" ht="13.8">
      <c r="A83" s="27"/>
      <c r="B83" s="34" t="s">
        <v>18</v>
      </c>
      <c r="C83" s="25"/>
      <c r="D83" s="36"/>
      <c r="E83" s="37"/>
      <c r="F83" s="38"/>
      <c r="G83" s="37"/>
      <c r="H83" s="58"/>
      <c r="I83" s="37"/>
      <c r="J83" s="38"/>
      <c r="K83" s="32">
        <f t="shared" si="6"/>
        <v>0</v>
      </c>
    </row>
    <row r="84" spans="1:11" s="39" customFormat="1" ht="13.8">
      <c r="A84" s="27"/>
      <c r="B84" s="34" t="s">
        <v>42</v>
      </c>
      <c r="C84" s="35" t="s">
        <v>21</v>
      </c>
      <c r="D84" s="36">
        <f>D80*0.07</f>
        <v>225.82000000000002</v>
      </c>
      <c r="E84" s="37">
        <v>105</v>
      </c>
      <c r="F84" s="38">
        <f>E84*D84</f>
        <v>23711.100000000002</v>
      </c>
      <c r="G84" s="37"/>
      <c r="H84" s="58"/>
      <c r="I84" s="37"/>
      <c r="J84" s="38"/>
      <c r="K84" s="32">
        <f t="shared" si="6"/>
        <v>23711.100000000002</v>
      </c>
    </row>
    <row r="85" spans="1:11" s="39" customFormat="1" ht="13.8">
      <c r="A85" s="27"/>
      <c r="B85" s="34" t="s">
        <v>43</v>
      </c>
      <c r="C85" s="35" t="s">
        <v>21</v>
      </c>
      <c r="D85" s="36">
        <f>D80*0.08*1.25</f>
        <v>322.59999999999997</v>
      </c>
      <c r="E85" s="37">
        <f>50/1.18</f>
        <v>42.372881355932208</v>
      </c>
      <c r="F85" s="38">
        <f>E85*D85</f>
        <v>13669.491525423729</v>
      </c>
      <c r="G85" s="37">
        <f>45/1.18</f>
        <v>38.135593220338983</v>
      </c>
      <c r="H85" s="38">
        <f>G85*D85</f>
        <v>12302.542372881355</v>
      </c>
      <c r="I85" s="37"/>
      <c r="J85" s="38"/>
      <c r="K85" s="32">
        <f t="shared" si="6"/>
        <v>25972.033898305082</v>
      </c>
    </row>
    <row r="86" spans="1:11" s="39" customFormat="1" ht="13.8">
      <c r="A86" s="27"/>
      <c r="B86" s="34" t="s">
        <v>26</v>
      </c>
      <c r="C86" s="25" t="s">
        <v>17</v>
      </c>
      <c r="D86" s="36">
        <f>D80*0.0636</f>
        <v>205.17360000000002</v>
      </c>
      <c r="E86" s="37">
        <v>3.2</v>
      </c>
      <c r="F86" s="38">
        <f>E86*D86</f>
        <v>656.55552000000012</v>
      </c>
      <c r="G86" s="37"/>
      <c r="H86" s="38"/>
      <c r="I86" s="37"/>
      <c r="J86" s="38"/>
      <c r="K86" s="32">
        <f t="shared" si="6"/>
        <v>656.55552000000012</v>
      </c>
    </row>
    <row r="87" spans="1:11" s="66" customFormat="1" ht="13.8">
      <c r="A87" s="21">
        <f>A80+1</f>
        <v>10</v>
      </c>
      <c r="B87" s="22" t="s">
        <v>119</v>
      </c>
      <c r="C87" s="21" t="s">
        <v>75</v>
      </c>
      <c r="D87" s="64">
        <v>550</v>
      </c>
      <c r="E87" s="65"/>
      <c r="F87" s="65"/>
      <c r="G87" s="65"/>
      <c r="H87" s="65"/>
      <c r="I87" s="65"/>
      <c r="J87" s="65"/>
      <c r="K87" s="65"/>
    </row>
    <row r="88" spans="1:11" s="67" customFormat="1" ht="13.8">
      <c r="A88" s="21"/>
      <c r="B88" s="24" t="s">
        <v>76</v>
      </c>
      <c r="C88" s="26" t="str">
        <f>C87</f>
        <v>მ²</v>
      </c>
      <c r="D88" s="61">
        <f>D87</f>
        <v>550</v>
      </c>
      <c r="E88" s="62"/>
      <c r="F88" s="62"/>
      <c r="G88" s="62">
        <f>25/0.8/0.96</f>
        <v>32.552083333333336</v>
      </c>
      <c r="H88" s="62">
        <f>G88*D88</f>
        <v>17903.645833333336</v>
      </c>
      <c r="I88" s="62"/>
      <c r="J88" s="62"/>
      <c r="K88" s="62">
        <f>J88+H88+F88</f>
        <v>17903.645833333336</v>
      </c>
    </row>
    <row r="89" spans="1:11" s="67" customFormat="1" ht="13.8">
      <c r="A89" s="21"/>
      <c r="B89" s="24" t="s">
        <v>16</v>
      </c>
      <c r="C89" s="26" t="s">
        <v>17</v>
      </c>
      <c r="D89" s="61">
        <f>D87*0.036</f>
        <v>19.799999999999997</v>
      </c>
      <c r="E89" s="62"/>
      <c r="F89" s="62"/>
      <c r="G89" s="62"/>
      <c r="H89" s="62"/>
      <c r="I89" s="62">
        <v>3.2</v>
      </c>
      <c r="J89" s="62">
        <f>I89*D89</f>
        <v>63.359999999999992</v>
      </c>
      <c r="K89" s="62">
        <f t="shared" ref="K89" si="18">J89+H89+F89</f>
        <v>63.359999999999992</v>
      </c>
    </row>
    <row r="90" spans="1:11" s="67" customFormat="1" ht="13.8">
      <c r="A90" s="21"/>
      <c r="B90" s="24" t="s">
        <v>72</v>
      </c>
      <c r="C90" s="26"/>
      <c r="D90" s="61"/>
      <c r="E90" s="62"/>
      <c r="F90" s="62"/>
      <c r="G90" s="62"/>
      <c r="H90" s="62"/>
      <c r="I90" s="62"/>
      <c r="J90" s="62"/>
      <c r="K90" s="62"/>
    </row>
    <row r="91" spans="1:11" s="67" customFormat="1" ht="13.8">
      <c r="A91" s="21"/>
      <c r="B91" s="24" t="s">
        <v>77</v>
      </c>
      <c r="C91" s="26" t="str">
        <f>C87</f>
        <v>მ²</v>
      </c>
      <c r="D91" s="61">
        <f>D87*1.05</f>
        <v>577.5</v>
      </c>
      <c r="E91" s="62">
        <f>25/1.18</f>
        <v>21.186440677966104</v>
      </c>
      <c r="F91" s="62">
        <f>E91*D91</f>
        <v>12235.169491525425</v>
      </c>
      <c r="G91" s="62"/>
      <c r="H91" s="62"/>
      <c r="I91" s="62"/>
      <c r="J91" s="62"/>
      <c r="K91" s="62">
        <f t="shared" ref="K91:K93" si="19">J91+H91+F91</f>
        <v>12235.169491525425</v>
      </c>
    </row>
    <row r="92" spans="1:11" s="67" customFormat="1" ht="13.8">
      <c r="A92" s="21"/>
      <c r="B92" s="24" t="s">
        <v>78</v>
      </c>
      <c r="C92" s="26" t="s">
        <v>19</v>
      </c>
      <c r="D92" s="61">
        <f>D87*8</f>
        <v>4400</v>
      </c>
      <c r="E92" s="62">
        <f>18/25/1.18</f>
        <v>0.61016949152542377</v>
      </c>
      <c r="F92" s="62">
        <f t="shared" ref="F92:F93" si="20">E92*D92</f>
        <v>2684.7457627118647</v>
      </c>
      <c r="G92" s="62"/>
      <c r="H92" s="62"/>
      <c r="I92" s="62"/>
      <c r="J92" s="62"/>
      <c r="K92" s="62">
        <f t="shared" si="19"/>
        <v>2684.7457627118647</v>
      </c>
    </row>
    <row r="93" spans="1:11" s="67" customFormat="1" ht="13.8">
      <c r="A93" s="21"/>
      <c r="B93" s="24" t="s">
        <v>26</v>
      </c>
      <c r="C93" s="26" t="s">
        <v>17</v>
      </c>
      <c r="D93" s="61">
        <f>D87*0.8</f>
        <v>440</v>
      </c>
      <c r="E93" s="62">
        <v>3.2</v>
      </c>
      <c r="F93" s="62">
        <f t="shared" si="20"/>
        <v>1408</v>
      </c>
      <c r="G93" s="62"/>
      <c r="H93" s="62"/>
      <c r="I93" s="62"/>
      <c r="J93" s="62"/>
      <c r="K93" s="62">
        <f t="shared" si="19"/>
        <v>1408</v>
      </c>
    </row>
    <row r="94" spans="1:11" s="66" customFormat="1" ht="13.8">
      <c r="A94" s="21">
        <f>A87+1</f>
        <v>11</v>
      </c>
      <c r="B94" s="22" t="s">
        <v>120</v>
      </c>
      <c r="C94" s="21" t="s">
        <v>75</v>
      </c>
      <c r="D94" s="64">
        <v>190</v>
      </c>
      <c r="E94" s="65"/>
      <c r="F94" s="65"/>
      <c r="G94" s="65"/>
      <c r="H94" s="65"/>
      <c r="I94" s="65"/>
      <c r="J94" s="65"/>
      <c r="K94" s="65"/>
    </row>
    <row r="95" spans="1:11" s="67" customFormat="1" ht="13.8">
      <c r="A95" s="21"/>
      <c r="B95" s="24" t="s">
        <v>76</v>
      </c>
      <c r="C95" s="26" t="str">
        <f>C94</f>
        <v>მ²</v>
      </c>
      <c r="D95" s="61">
        <f>D94</f>
        <v>190</v>
      </c>
      <c r="E95" s="62"/>
      <c r="F95" s="62"/>
      <c r="G95" s="62">
        <f>35/0.8/0.96</f>
        <v>45.572916666666671</v>
      </c>
      <c r="H95" s="62">
        <f>G95*D95</f>
        <v>8658.8541666666679</v>
      </c>
      <c r="I95" s="62"/>
      <c r="J95" s="62"/>
      <c r="K95" s="62">
        <f>J95+H95+F95</f>
        <v>8658.8541666666679</v>
      </c>
    </row>
    <row r="96" spans="1:11" s="67" customFormat="1" ht="13.8">
      <c r="A96" s="21"/>
      <c r="B96" s="24" t="s">
        <v>16</v>
      </c>
      <c r="C96" s="26" t="s">
        <v>17</v>
      </c>
      <c r="D96" s="61">
        <f>D94*0.036</f>
        <v>6.84</v>
      </c>
      <c r="E96" s="62"/>
      <c r="F96" s="62"/>
      <c r="G96" s="62"/>
      <c r="H96" s="62"/>
      <c r="I96" s="62">
        <v>3.2</v>
      </c>
      <c r="J96" s="62">
        <f>I96*D96</f>
        <v>21.888000000000002</v>
      </c>
      <c r="K96" s="62">
        <f t="shared" ref="K96" si="21">J96+H96+F96</f>
        <v>21.888000000000002</v>
      </c>
    </row>
    <row r="97" spans="1:11" s="67" customFormat="1" ht="13.8">
      <c r="A97" s="21"/>
      <c r="B97" s="24" t="s">
        <v>72</v>
      </c>
      <c r="C97" s="26"/>
      <c r="D97" s="61"/>
      <c r="E97" s="62"/>
      <c r="F97" s="62"/>
      <c r="G97" s="62"/>
      <c r="H97" s="62"/>
      <c r="I97" s="62"/>
      <c r="J97" s="62"/>
      <c r="K97" s="62"/>
    </row>
    <row r="98" spans="1:11" s="67" customFormat="1" ht="13.8">
      <c r="A98" s="21"/>
      <c r="B98" s="24" t="s">
        <v>77</v>
      </c>
      <c r="C98" s="26" t="str">
        <f>C94</f>
        <v>მ²</v>
      </c>
      <c r="D98" s="61">
        <f>D94*1.05</f>
        <v>199.5</v>
      </c>
      <c r="E98" s="62">
        <f>25/1.18</f>
        <v>21.186440677966104</v>
      </c>
      <c r="F98" s="62">
        <f>E98*D98</f>
        <v>4226.6949152542375</v>
      </c>
      <c r="G98" s="62"/>
      <c r="H98" s="62"/>
      <c r="I98" s="62"/>
      <c r="J98" s="62"/>
      <c r="K98" s="62">
        <f t="shared" ref="K98:K100" si="22">J98+H98+F98</f>
        <v>4226.6949152542375</v>
      </c>
    </row>
    <row r="99" spans="1:11" s="67" customFormat="1" ht="13.8">
      <c r="A99" s="21"/>
      <c r="B99" s="24" t="s">
        <v>78</v>
      </c>
      <c r="C99" s="26" t="s">
        <v>19</v>
      </c>
      <c r="D99" s="61">
        <f>D94*8</f>
        <v>1520</v>
      </c>
      <c r="E99" s="62">
        <f>E92</f>
        <v>0.61016949152542377</v>
      </c>
      <c r="F99" s="62">
        <f t="shared" ref="F99:F100" si="23">E99*D99</f>
        <v>927.45762711864415</v>
      </c>
      <c r="G99" s="62"/>
      <c r="H99" s="62"/>
      <c r="I99" s="62"/>
      <c r="J99" s="62"/>
      <c r="K99" s="62">
        <f t="shared" si="22"/>
        <v>927.45762711864415</v>
      </c>
    </row>
    <row r="100" spans="1:11" s="67" customFormat="1" ht="13.8">
      <c r="A100" s="21"/>
      <c r="B100" s="24" t="s">
        <v>26</v>
      </c>
      <c r="C100" s="26" t="s">
        <v>17</v>
      </c>
      <c r="D100" s="61">
        <f>D94*0.8</f>
        <v>152</v>
      </c>
      <c r="E100" s="62">
        <v>3.2</v>
      </c>
      <c r="F100" s="62">
        <f t="shared" si="23"/>
        <v>486.40000000000003</v>
      </c>
      <c r="G100" s="62"/>
      <c r="H100" s="62"/>
      <c r="I100" s="62"/>
      <c r="J100" s="62"/>
      <c r="K100" s="62">
        <f t="shared" si="22"/>
        <v>486.40000000000003</v>
      </c>
    </row>
    <row r="101" spans="1:11" s="66" customFormat="1" ht="20.25" customHeight="1">
      <c r="A101" s="21">
        <f>A94+1</f>
        <v>12</v>
      </c>
      <c r="B101" s="22" t="s">
        <v>121</v>
      </c>
      <c r="C101" s="21" t="s">
        <v>75</v>
      </c>
      <c r="D101" s="64">
        <v>200</v>
      </c>
      <c r="E101" s="65"/>
      <c r="F101" s="65"/>
      <c r="G101" s="65"/>
      <c r="H101" s="65"/>
      <c r="I101" s="65"/>
      <c r="J101" s="65"/>
      <c r="K101" s="65"/>
    </row>
    <row r="102" spans="1:11" s="67" customFormat="1" ht="13.8">
      <c r="A102" s="21"/>
      <c r="B102" s="24" t="s">
        <v>76</v>
      </c>
      <c r="C102" s="26" t="str">
        <f>C101</f>
        <v>მ²</v>
      </c>
      <c r="D102" s="61">
        <f>D101</f>
        <v>200</v>
      </c>
      <c r="E102" s="62"/>
      <c r="F102" s="62"/>
      <c r="G102" s="62">
        <f>25/0.8/0.96</f>
        <v>32.552083333333336</v>
      </c>
      <c r="H102" s="62">
        <f>G102*D102</f>
        <v>6510.416666666667</v>
      </c>
      <c r="I102" s="62"/>
      <c r="J102" s="62"/>
      <c r="K102" s="62">
        <f>J102+H102+F102</f>
        <v>6510.416666666667</v>
      </c>
    </row>
    <row r="103" spans="1:11" s="67" customFormat="1" ht="13.8">
      <c r="A103" s="21"/>
      <c r="B103" s="24" t="s">
        <v>16</v>
      </c>
      <c r="C103" s="26" t="s">
        <v>17</v>
      </c>
      <c r="D103" s="61">
        <f>D101*0.036</f>
        <v>7.1999999999999993</v>
      </c>
      <c r="E103" s="62"/>
      <c r="F103" s="62"/>
      <c r="G103" s="62"/>
      <c r="H103" s="62"/>
      <c r="I103" s="62">
        <v>3.2</v>
      </c>
      <c r="J103" s="62">
        <f>I103*D103</f>
        <v>23.04</v>
      </c>
      <c r="K103" s="62">
        <f t="shared" ref="K103" si="24">J103+H103+F103</f>
        <v>23.04</v>
      </c>
    </row>
    <row r="104" spans="1:11" s="67" customFormat="1" ht="13.8">
      <c r="A104" s="21"/>
      <c r="B104" s="24" t="s">
        <v>72</v>
      </c>
      <c r="C104" s="26"/>
      <c r="D104" s="61"/>
      <c r="E104" s="62"/>
      <c r="F104" s="62"/>
      <c r="G104" s="62"/>
      <c r="H104" s="62"/>
      <c r="I104" s="62"/>
      <c r="J104" s="62"/>
      <c r="K104" s="62"/>
    </row>
    <row r="105" spans="1:11" s="67" customFormat="1" ht="13.8">
      <c r="A105" s="21"/>
      <c r="B105" s="24" t="s">
        <v>77</v>
      </c>
      <c r="C105" s="26" t="str">
        <f>C101</f>
        <v>მ²</v>
      </c>
      <c r="D105" s="61">
        <f>D101*1.05</f>
        <v>210</v>
      </c>
      <c r="E105" s="62">
        <f>E98</f>
        <v>21.186440677966104</v>
      </c>
      <c r="F105" s="62">
        <f>E105*D105</f>
        <v>4449.1525423728817</v>
      </c>
      <c r="G105" s="62"/>
      <c r="H105" s="62"/>
      <c r="I105" s="62"/>
      <c r="J105" s="62"/>
      <c r="K105" s="62">
        <f t="shared" ref="K105:K107" si="25">J105+H105+F105</f>
        <v>4449.1525423728817</v>
      </c>
    </row>
    <row r="106" spans="1:11" s="67" customFormat="1" ht="13.8">
      <c r="A106" s="21"/>
      <c r="B106" s="24" t="s">
        <v>78</v>
      </c>
      <c r="C106" s="26" t="s">
        <v>19</v>
      </c>
      <c r="D106" s="61">
        <f>D101*8</f>
        <v>1600</v>
      </c>
      <c r="E106" s="62">
        <f>E99</f>
        <v>0.61016949152542377</v>
      </c>
      <c r="F106" s="62">
        <f t="shared" ref="F106:F107" si="26">E106*D106</f>
        <v>976.27118644067798</v>
      </c>
      <c r="G106" s="62"/>
      <c r="H106" s="62"/>
      <c r="I106" s="62"/>
      <c r="J106" s="62"/>
      <c r="K106" s="62">
        <f t="shared" si="25"/>
        <v>976.27118644067798</v>
      </c>
    </row>
    <row r="107" spans="1:11" s="67" customFormat="1" ht="13.8">
      <c r="A107" s="21"/>
      <c r="B107" s="24" t="s">
        <v>26</v>
      </c>
      <c r="C107" s="26" t="s">
        <v>17</v>
      </c>
      <c r="D107" s="61">
        <f>D101*0.8</f>
        <v>160</v>
      </c>
      <c r="E107" s="62">
        <v>3.2</v>
      </c>
      <c r="F107" s="62">
        <f t="shared" si="26"/>
        <v>512</v>
      </c>
      <c r="G107" s="62"/>
      <c r="H107" s="62"/>
      <c r="I107" s="62"/>
      <c r="J107" s="62"/>
      <c r="K107" s="62">
        <f t="shared" si="25"/>
        <v>512</v>
      </c>
    </row>
    <row r="108" spans="1:11" s="66" customFormat="1" ht="20.25" customHeight="1">
      <c r="A108" s="21">
        <f>A101+1</f>
        <v>13</v>
      </c>
      <c r="B108" s="22" t="s">
        <v>133</v>
      </c>
      <c r="C108" s="21" t="s">
        <v>75</v>
      </c>
      <c r="D108" s="64">
        <v>290</v>
      </c>
      <c r="E108" s="65"/>
      <c r="F108" s="65"/>
      <c r="G108" s="65"/>
      <c r="H108" s="65"/>
      <c r="I108" s="65"/>
      <c r="J108" s="65"/>
      <c r="K108" s="65"/>
    </row>
    <row r="109" spans="1:11" s="67" customFormat="1" ht="13.8">
      <c r="A109" s="21"/>
      <c r="B109" s="24" t="s">
        <v>76</v>
      </c>
      <c r="C109" s="26" t="str">
        <f>C108</f>
        <v>მ²</v>
      </c>
      <c r="D109" s="61">
        <f>D108</f>
        <v>290</v>
      </c>
      <c r="E109" s="62"/>
      <c r="F109" s="62"/>
      <c r="G109" s="62">
        <f>25/0.8/0.96</f>
        <v>32.552083333333336</v>
      </c>
      <c r="H109" s="62">
        <f>G109*D109</f>
        <v>9440.1041666666679</v>
      </c>
      <c r="I109" s="62"/>
      <c r="J109" s="62"/>
      <c r="K109" s="62">
        <f>J109+H109+F109</f>
        <v>9440.1041666666679</v>
      </c>
    </row>
    <row r="110" spans="1:11" s="67" customFormat="1" ht="13.8">
      <c r="A110" s="21"/>
      <c r="B110" s="24" t="s">
        <v>16</v>
      </c>
      <c r="C110" s="26" t="s">
        <v>17</v>
      </c>
      <c r="D110" s="61">
        <f>D108*0.036</f>
        <v>10.44</v>
      </c>
      <c r="E110" s="62"/>
      <c r="F110" s="62"/>
      <c r="G110" s="62"/>
      <c r="H110" s="62"/>
      <c r="I110" s="62">
        <v>3.2</v>
      </c>
      <c r="J110" s="62">
        <f>I110*D110</f>
        <v>33.408000000000001</v>
      </c>
      <c r="K110" s="62">
        <f t="shared" ref="K110" si="27">J110+H110+F110</f>
        <v>33.408000000000001</v>
      </c>
    </row>
    <row r="111" spans="1:11" s="67" customFormat="1" ht="13.8">
      <c r="A111" s="21"/>
      <c r="B111" s="24" t="s">
        <v>72</v>
      </c>
      <c r="C111" s="26"/>
      <c r="D111" s="61"/>
      <c r="E111" s="62"/>
      <c r="F111" s="62"/>
      <c r="G111" s="62"/>
      <c r="H111" s="62"/>
      <c r="I111" s="62"/>
      <c r="J111" s="62"/>
      <c r="K111" s="62"/>
    </row>
    <row r="112" spans="1:11" s="67" customFormat="1" ht="13.8">
      <c r="A112" s="21"/>
      <c r="B112" s="24" t="s">
        <v>77</v>
      </c>
      <c r="C112" s="26" t="str">
        <f>C108</f>
        <v>მ²</v>
      </c>
      <c r="D112" s="61">
        <f>D108*1.05</f>
        <v>304.5</v>
      </c>
      <c r="E112" s="62">
        <f>E105</f>
        <v>21.186440677966104</v>
      </c>
      <c r="F112" s="62">
        <f>E112*D112</f>
        <v>6451.2711864406783</v>
      </c>
      <c r="G112" s="62"/>
      <c r="H112" s="62"/>
      <c r="I112" s="62"/>
      <c r="J112" s="62"/>
      <c r="K112" s="62">
        <f t="shared" ref="K112:K114" si="28">J112+H112+F112</f>
        <v>6451.2711864406783</v>
      </c>
    </row>
    <row r="113" spans="1:11" s="67" customFormat="1" ht="13.8">
      <c r="A113" s="21"/>
      <c r="B113" s="24" t="s">
        <v>78</v>
      </c>
      <c r="C113" s="26" t="s">
        <v>19</v>
      </c>
      <c r="D113" s="61">
        <f>D108*8</f>
        <v>2320</v>
      </c>
      <c r="E113" s="62">
        <f>E106</f>
        <v>0.61016949152542377</v>
      </c>
      <c r="F113" s="62">
        <f t="shared" ref="F113:F114" si="29">E113*D113</f>
        <v>1415.5932203389832</v>
      </c>
      <c r="G113" s="62"/>
      <c r="H113" s="62"/>
      <c r="I113" s="62"/>
      <c r="J113" s="62"/>
      <c r="K113" s="62">
        <f t="shared" si="28"/>
        <v>1415.5932203389832</v>
      </c>
    </row>
    <row r="114" spans="1:11" s="67" customFormat="1" ht="13.8">
      <c r="A114" s="21"/>
      <c r="B114" s="24" t="s">
        <v>26</v>
      </c>
      <c r="C114" s="26" t="s">
        <v>17</v>
      </c>
      <c r="D114" s="61">
        <f>D108*0.8</f>
        <v>232</v>
      </c>
      <c r="E114" s="62">
        <v>3.2</v>
      </c>
      <c r="F114" s="62">
        <f t="shared" si="29"/>
        <v>742.40000000000009</v>
      </c>
      <c r="G114" s="62"/>
      <c r="H114" s="62"/>
      <c r="I114" s="62"/>
      <c r="J114" s="62"/>
      <c r="K114" s="62">
        <f t="shared" si="28"/>
        <v>742.40000000000009</v>
      </c>
    </row>
    <row r="115" spans="1:11" s="66" customFormat="1" ht="20.25" customHeight="1">
      <c r="A115" s="21">
        <f>A108+1</f>
        <v>14</v>
      </c>
      <c r="B115" s="22" t="s">
        <v>137</v>
      </c>
      <c r="C115" s="21" t="s">
        <v>75</v>
      </c>
      <c r="D115" s="64">
        <v>2397</v>
      </c>
      <c r="E115" s="65"/>
      <c r="F115" s="65"/>
      <c r="G115" s="65"/>
      <c r="H115" s="65"/>
      <c r="I115" s="65"/>
      <c r="J115" s="65"/>
      <c r="K115" s="65"/>
    </row>
    <row r="116" spans="1:11" s="67" customFormat="1" ht="13.8">
      <c r="A116" s="21"/>
      <c r="B116" s="24" t="s">
        <v>76</v>
      </c>
      <c r="C116" s="26" t="str">
        <f>C115</f>
        <v>მ²</v>
      </c>
      <c r="D116" s="61">
        <f>D115</f>
        <v>2397</v>
      </c>
      <c r="E116" s="62"/>
      <c r="F116" s="62"/>
      <c r="G116" s="62">
        <f>6/0.8/0.96</f>
        <v>7.8125</v>
      </c>
      <c r="H116" s="62">
        <f>G116*D116</f>
        <v>18726.5625</v>
      </c>
      <c r="I116" s="62"/>
      <c r="J116" s="62"/>
      <c r="K116" s="62">
        <f>J116+H116+F116</f>
        <v>18726.5625</v>
      </c>
    </row>
    <row r="117" spans="1:11" s="67" customFormat="1" ht="13.8">
      <c r="A117" s="21"/>
      <c r="B117" s="24" t="s">
        <v>16</v>
      </c>
      <c r="C117" s="26" t="s">
        <v>17</v>
      </c>
      <c r="D117" s="61">
        <f>D115*0.036</f>
        <v>86.291999999999987</v>
      </c>
      <c r="E117" s="62"/>
      <c r="F117" s="62"/>
      <c r="G117" s="62"/>
      <c r="H117" s="62"/>
      <c r="I117" s="62">
        <v>3.2</v>
      </c>
      <c r="J117" s="62">
        <f>I117*D117</f>
        <v>276.13439999999997</v>
      </c>
      <c r="K117" s="62">
        <f t="shared" ref="K117" si="30">J117+H117+F117</f>
        <v>276.13439999999997</v>
      </c>
    </row>
    <row r="118" spans="1:11" s="67" customFormat="1" ht="13.8">
      <c r="A118" s="21"/>
      <c r="B118" s="24" t="s">
        <v>72</v>
      </c>
      <c r="C118" s="26"/>
      <c r="D118" s="61"/>
      <c r="E118" s="62"/>
      <c r="F118" s="62"/>
      <c r="G118" s="62"/>
      <c r="H118" s="62"/>
      <c r="I118" s="62"/>
      <c r="J118" s="62"/>
      <c r="K118" s="62"/>
    </row>
    <row r="119" spans="1:11" s="67" customFormat="1" ht="13.8">
      <c r="A119" s="21"/>
      <c r="B119" s="24" t="s">
        <v>139</v>
      </c>
      <c r="C119" s="26" t="str">
        <f>C115</f>
        <v>მ²</v>
      </c>
      <c r="D119" s="61">
        <f>D115*1.05</f>
        <v>2516.85</v>
      </c>
      <c r="E119" s="62">
        <f>30.7/1.18</f>
        <v>26.016949152542374</v>
      </c>
      <c r="F119" s="62">
        <f>E119*D119</f>
        <v>65480.758474576272</v>
      </c>
      <c r="G119" s="62"/>
      <c r="H119" s="62"/>
      <c r="I119" s="62"/>
      <c r="J119" s="62"/>
      <c r="K119" s="62">
        <f t="shared" ref="K119:K121" si="31">J119+H119+F119</f>
        <v>65480.758474576272</v>
      </c>
    </row>
    <row r="120" spans="1:11" s="67" customFormat="1" ht="13.8">
      <c r="A120" s="21"/>
      <c r="B120" s="24" t="s">
        <v>138</v>
      </c>
      <c r="C120" s="26" t="str">
        <f>C116</f>
        <v>მ²</v>
      </c>
      <c r="D120" s="61">
        <f>D115*1.05</f>
        <v>2516.85</v>
      </c>
      <c r="E120" s="62">
        <f>2.5/1.18</f>
        <v>2.1186440677966103</v>
      </c>
      <c r="F120" s="62">
        <f t="shared" ref="F120:F121" si="32">E120*D120</f>
        <v>5332.3093220338988</v>
      </c>
      <c r="G120" s="62"/>
      <c r="H120" s="62"/>
      <c r="I120" s="62"/>
      <c r="J120" s="62"/>
      <c r="K120" s="62">
        <f t="shared" si="31"/>
        <v>5332.3093220338988</v>
      </c>
    </row>
    <row r="121" spans="1:11" s="67" customFormat="1" ht="13.8">
      <c r="A121" s="21"/>
      <c r="B121" s="24" t="s">
        <v>26</v>
      </c>
      <c r="C121" s="26" t="s">
        <v>17</v>
      </c>
      <c r="D121" s="61">
        <f>D115*0.083</f>
        <v>198.95100000000002</v>
      </c>
      <c r="E121" s="62">
        <v>3.2</v>
      </c>
      <c r="F121" s="62">
        <f t="shared" si="32"/>
        <v>636.64320000000009</v>
      </c>
      <c r="G121" s="62"/>
      <c r="H121" s="62"/>
      <c r="I121" s="62"/>
      <c r="J121" s="62"/>
      <c r="K121" s="62">
        <f t="shared" si="31"/>
        <v>636.64320000000009</v>
      </c>
    </row>
    <row r="122" spans="1:11" s="66" customFormat="1" ht="20.25" customHeight="1">
      <c r="A122" s="21">
        <f>A108+1</f>
        <v>14</v>
      </c>
      <c r="B122" s="22" t="s">
        <v>134</v>
      </c>
      <c r="C122" s="21" t="s">
        <v>75</v>
      </c>
      <c r="D122" s="64">
        <v>195</v>
      </c>
      <c r="E122" s="65"/>
      <c r="F122" s="65"/>
      <c r="G122" s="65"/>
      <c r="H122" s="65"/>
      <c r="I122" s="65"/>
      <c r="J122" s="65"/>
      <c r="K122" s="65"/>
    </row>
    <row r="123" spans="1:11" s="67" customFormat="1" ht="13.8">
      <c r="A123" s="21"/>
      <c r="B123" s="24" t="s">
        <v>76</v>
      </c>
      <c r="C123" s="26" t="str">
        <f>C122</f>
        <v>მ²</v>
      </c>
      <c r="D123" s="61">
        <f>D122</f>
        <v>195</v>
      </c>
      <c r="E123" s="62"/>
      <c r="F123" s="62"/>
      <c r="G123" s="62">
        <f>35/0.8/0.96</f>
        <v>45.572916666666671</v>
      </c>
      <c r="H123" s="62">
        <f>G123*D123</f>
        <v>8886.7187500000018</v>
      </c>
      <c r="I123" s="62"/>
      <c r="J123" s="62"/>
      <c r="K123" s="62">
        <f>J123+H123+F123</f>
        <v>8886.7187500000018</v>
      </c>
    </row>
    <row r="124" spans="1:11" s="67" customFormat="1" ht="13.8">
      <c r="A124" s="21"/>
      <c r="B124" s="24" t="s">
        <v>16</v>
      </c>
      <c r="C124" s="26" t="s">
        <v>17</v>
      </c>
      <c r="D124" s="61">
        <f>D122*0.036</f>
        <v>7.02</v>
      </c>
      <c r="E124" s="62"/>
      <c r="F124" s="62"/>
      <c r="G124" s="62"/>
      <c r="H124" s="62"/>
      <c r="I124" s="62">
        <v>3.2</v>
      </c>
      <c r="J124" s="62">
        <f>I124*D124</f>
        <v>22.463999999999999</v>
      </c>
      <c r="K124" s="62">
        <f t="shared" ref="K124" si="33">J124+H124+F124</f>
        <v>22.463999999999999</v>
      </c>
    </row>
    <row r="125" spans="1:11" s="67" customFormat="1" ht="13.8">
      <c r="A125" s="21"/>
      <c r="B125" s="24" t="s">
        <v>72</v>
      </c>
      <c r="C125" s="26"/>
      <c r="D125" s="61"/>
      <c r="E125" s="62"/>
      <c r="F125" s="62"/>
      <c r="G125" s="62"/>
      <c r="H125" s="62"/>
      <c r="I125" s="62"/>
      <c r="J125" s="62"/>
      <c r="K125" s="62"/>
    </row>
    <row r="126" spans="1:11" s="67" customFormat="1" ht="13.8">
      <c r="A126" s="21"/>
      <c r="B126" s="24" t="s">
        <v>149</v>
      </c>
      <c r="C126" s="26" t="str">
        <f>C122</f>
        <v>მ²</v>
      </c>
      <c r="D126" s="61">
        <f>D122*1.05</f>
        <v>204.75</v>
      </c>
      <c r="E126" s="62">
        <f>65/1.18</f>
        <v>55.084745762711869</v>
      </c>
      <c r="F126" s="62">
        <f>E126*D126</f>
        <v>11278.601694915254</v>
      </c>
      <c r="G126" s="62"/>
      <c r="H126" s="62"/>
      <c r="I126" s="62"/>
      <c r="J126" s="62"/>
      <c r="K126" s="62">
        <f t="shared" ref="K126:K128" si="34">J126+H126+F126</f>
        <v>11278.601694915254</v>
      </c>
    </row>
    <row r="127" spans="1:11" s="67" customFormat="1" ht="13.8">
      <c r="A127" s="21"/>
      <c r="B127" s="24" t="s">
        <v>32</v>
      </c>
      <c r="C127" s="26" t="s">
        <v>71</v>
      </c>
      <c r="D127" s="61">
        <f>D122*0.07</f>
        <v>13.650000000000002</v>
      </c>
      <c r="E127" s="62">
        <v>105</v>
      </c>
      <c r="F127" s="62">
        <f t="shared" ref="F127:F128" si="35">E127*D127</f>
        <v>1433.2500000000002</v>
      </c>
      <c r="G127" s="62"/>
      <c r="H127" s="62"/>
      <c r="I127" s="62"/>
      <c r="J127" s="62"/>
      <c r="K127" s="62">
        <f t="shared" si="34"/>
        <v>1433.2500000000002</v>
      </c>
    </row>
    <row r="128" spans="1:11" s="67" customFormat="1" ht="13.8">
      <c r="A128" s="21"/>
      <c r="B128" s="24" t="s">
        <v>26</v>
      </c>
      <c r="C128" s="26" t="s">
        <v>17</v>
      </c>
      <c r="D128" s="61">
        <f>D122*0.8</f>
        <v>156</v>
      </c>
      <c r="E128" s="62">
        <v>3.2</v>
      </c>
      <c r="F128" s="62">
        <f t="shared" si="35"/>
        <v>499.20000000000005</v>
      </c>
      <c r="G128" s="62"/>
      <c r="H128" s="62"/>
      <c r="I128" s="62"/>
      <c r="J128" s="62"/>
      <c r="K128" s="62">
        <f t="shared" si="34"/>
        <v>499.20000000000005</v>
      </c>
    </row>
    <row r="129" spans="1:11" s="66" customFormat="1" ht="20.25" customHeight="1">
      <c r="A129" s="21">
        <f>A122+1</f>
        <v>15</v>
      </c>
      <c r="B129" s="22" t="s">
        <v>136</v>
      </c>
      <c r="C129" s="21" t="s">
        <v>75</v>
      </c>
      <c r="D129" s="64">
        <f>40+40</f>
        <v>80</v>
      </c>
      <c r="E129" s="65"/>
      <c r="F129" s="65"/>
      <c r="G129" s="65"/>
      <c r="H129" s="65"/>
      <c r="I129" s="65"/>
      <c r="J129" s="65"/>
      <c r="K129" s="65"/>
    </row>
    <row r="130" spans="1:11" s="67" customFormat="1" ht="13.8">
      <c r="A130" s="21"/>
      <c r="B130" s="24" t="s">
        <v>76</v>
      </c>
      <c r="C130" s="26" t="str">
        <f>C129</f>
        <v>მ²</v>
      </c>
      <c r="D130" s="61">
        <f>D129</f>
        <v>80</v>
      </c>
      <c r="E130" s="62"/>
      <c r="F130" s="62"/>
      <c r="G130" s="62">
        <f>G123</f>
        <v>45.572916666666671</v>
      </c>
      <c r="H130" s="62">
        <f>G130*D130</f>
        <v>3645.8333333333339</v>
      </c>
      <c r="I130" s="62"/>
      <c r="J130" s="62"/>
      <c r="K130" s="62">
        <f>J130+H130+F130</f>
        <v>3645.8333333333339</v>
      </c>
    </row>
    <row r="131" spans="1:11" s="67" customFormat="1" ht="13.8">
      <c r="A131" s="21"/>
      <c r="B131" s="24" t="s">
        <v>16</v>
      </c>
      <c r="C131" s="26" t="s">
        <v>17</v>
      </c>
      <c r="D131" s="61">
        <f>D129*0.036</f>
        <v>2.88</v>
      </c>
      <c r="E131" s="62"/>
      <c r="F131" s="62"/>
      <c r="G131" s="62"/>
      <c r="H131" s="62"/>
      <c r="I131" s="62">
        <v>3.2</v>
      </c>
      <c r="J131" s="62">
        <f>I131*D131</f>
        <v>9.2159999999999993</v>
      </c>
      <c r="K131" s="62">
        <f t="shared" ref="K131" si="36">J131+H131+F131</f>
        <v>9.2159999999999993</v>
      </c>
    </row>
    <row r="132" spans="1:11" s="67" customFormat="1" ht="13.8">
      <c r="A132" s="21"/>
      <c r="B132" s="24" t="s">
        <v>72</v>
      </c>
      <c r="C132" s="26"/>
      <c r="D132" s="61"/>
      <c r="E132" s="62"/>
      <c r="F132" s="62"/>
      <c r="G132" s="62"/>
      <c r="H132" s="62"/>
      <c r="I132" s="62"/>
      <c r="J132" s="62"/>
      <c r="K132" s="62"/>
    </row>
    <row r="133" spans="1:11" s="67" customFormat="1" ht="13.8">
      <c r="A133" s="21"/>
      <c r="B133" s="24" t="s">
        <v>149</v>
      </c>
      <c r="C133" s="26" t="str">
        <f>C129</f>
        <v>მ²</v>
      </c>
      <c r="D133" s="61">
        <f>D129*1.05</f>
        <v>84</v>
      </c>
      <c r="E133" s="62">
        <f>E126</f>
        <v>55.084745762711869</v>
      </c>
      <c r="F133" s="62">
        <f>E133*D133</f>
        <v>4627.1186440677966</v>
      </c>
      <c r="G133" s="62"/>
      <c r="H133" s="62"/>
      <c r="I133" s="62"/>
      <c r="J133" s="62"/>
      <c r="K133" s="62">
        <f t="shared" ref="K133:K135" si="37">J133+H133+F133</f>
        <v>4627.1186440677966</v>
      </c>
    </row>
    <row r="134" spans="1:11" s="67" customFormat="1" ht="13.8">
      <c r="A134" s="21"/>
      <c r="B134" s="24" t="s">
        <v>32</v>
      </c>
      <c r="C134" s="26" t="s">
        <v>71</v>
      </c>
      <c r="D134" s="61">
        <f>D129*0.1</f>
        <v>8</v>
      </c>
      <c r="E134" s="62">
        <v>105</v>
      </c>
      <c r="F134" s="62">
        <f t="shared" ref="F134:F135" si="38">E134*D134</f>
        <v>840</v>
      </c>
      <c r="G134" s="62"/>
      <c r="H134" s="62"/>
      <c r="I134" s="62"/>
      <c r="J134" s="62"/>
      <c r="K134" s="62">
        <f t="shared" si="37"/>
        <v>840</v>
      </c>
    </row>
    <row r="135" spans="1:11" s="67" customFormat="1" ht="13.8">
      <c r="A135" s="21"/>
      <c r="B135" s="24" t="s">
        <v>26</v>
      </c>
      <c r="C135" s="26" t="s">
        <v>17</v>
      </c>
      <c r="D135" s="61">
        <f>D129*0.8</f>
        <v>64</v>
      </c>
      <c r="E135" s="62">
        <v>3.2</v>
      </c>
      <c r="F135" s="62">
        <f t="shared" si="38"/>
        <v>204.8</v>
      </c>
      <c r="G135" s="62"/>
      <c r="H135" s="62"/>
      <c r="I135" s="62"/>
      <c r="J135" s="62"/>
      <c r="K135" s="62">
        <f t="shared" si="37"/>
        <v>204.8</v>
      </c>
    </row>
    <row r="136" spans="1:11" s="33" customFormat="1" ht="13.8">
      <c r="A136" s="27">
        <f>A80+1</f>
        <v>10</v>
      </c>
      <c r="B136" s="28" t="s">
        <v>44</v>
      </c>
      <c r="C136" s="23" t="s">
        <v>13</v>
      </c>
      <c r="D136" s="30">
        <v>195</v>
      </c>
      <c r="E136" s="41"/>
      <c r="F136" s="31"/>
      <c r="G136" s="41"/>
      <c r="H136" s="31"/>
      <c r="I136" s="41"/>
      <c r="J136" s="31"/>
      <c r="K136" s="32"/>
    </row>
    <row r="137" spans="1:11" s="39" customFormat="1" ht="13.8">
      <c r="A137" s="27"/>
      <c r="B137" s="34" t="s">
        <v>14</v>
      </c>
      <c r="C137" s="25" t="s">
        <v>15</v>
      </c>
      <c r="D137" s="36">
        <f>D136</f>
        <v>195</v>
      </c>
      <c r="E137" s="37"/>
      <c r="F137" s="38"/>
      <c r="G137" s="37">
        <f>5*1.3</f>
        <v>6.5</v>
      </c>
      <c r="H137" s="38">
        <f>G137*D137</f>
        <v>1267.5</v>
      </c>
      <c r="I137" s="37"/>
      <c r="J137" s="38"/>
      <c r="K137" s="32">
        <f t="shared" ref="K137:K194" si="39">J137+H137+F137</f>
        <v>1267.5</v>
      </c>
    </row>
    <row r="138" spans="1:11" s="39" customFormat="1" ht="13.8">
      <c r="A138" s="27"/>
      <c r="B138" s="34" t="s">
        <v>18</v>
      </c>
      <c r="C138" s="25"/>
      <c r="D138" s="36"/>
      <c r="E138" s="37"/>
      <c r="F138" s="38"/>
      <c r="G138" s="37"/>
      <c r="H138" s="38"/>
      <c r="I138" s="37"/>
      <c r="J138" s="38"/>
      <c r="K138" s="32"/>
    </row>
    <row r="139" spans="1:11" s="39" customFormat="1" ht="13.8">
      <c r="A139" s="27"/>
      <c r="B139" s="34" t="s">
        <v>45</v>
      </c>
      <c r="C139" s="25" t="s">
        <v>15</v>
      </c>
      <c r="D139" s="36">
        <f>D137</f>
        <v>195</v>
      </c>
      <c r="E139" s="37">
        <f>75*3.5/1.18</f>
        <v>222.45762711864407</v>
      </c>
      <c r="F139" s="38">
        <f>E139*D139</f>
        <v>43379.237288135591</v>
      </c>
      <c r="G139" s="37"/>
      <c r="H139" s="38"/>
      <c r="I139" s="37"/>
      <c r="J139" s="38"/>
      <c r="K139" s="32">
        <f t="shared" si="39"/>
        <v>43379.237288135591</v>
      </c>
    </row>
    <row r="140" spans="1:11" s="33" customFormat="1" ht="13.8">
      <c r="A140" s="27">
        <f>A136+1</f>
        <v>11</v>
      </c>
      <c r="B140" s="28" t="s">
        <v>46</v>
      </c>
      <c r="C140" s="23" t="s">
        <v>13</v>
      </c>
      <c r="D140" s="30">
        <v>236.17</v>
      </c>
      <c r="E140" s="41"/>
      <c r="F140" s="31"/>
      <c r="G140" s="41"/>
      <c r="H140" s="31"/>
      <c r="I140" s="41"/>
      <c r="J140" s="31"/>
      <c r="K140" s="32"/>
    </row>
    <row r="141" spans="1:11" s="39" customFormat="1" ht="13.8">
      <c r="A141" s="27"/>
      <c r="B141" s="34" t="s">
        <v>14</v>
      </c>
      <c r="C141" s="25" t="s">
        <v>15</v>
      </c>
      <c r="D141" s="36">
        <f>D140</f>
        <v>236.17</v>
      </c>
      <c r="E141" s="37"/>
      <c r="F141" s="38"/>
      <c r="G141" s="37">
        <f>G137</f>
        <v>6.5</v>
      </c>
      <c r="H141" s="38">
        <f>G141*D141</f>
        <v>1535.105</v>
      </c>
      <c r="I141" s="37"/>
      <c r="J141" s="38"/>
      <c r="K141" s="32">
        <f t="shared" si="39"/>
        <v>1535.105</v>
      </c>
    </row>
    <row r="142" spans="1:11" s="39" customFormat="1" ht="15.75" customHeight="1">
      <c r="A142" s="27"/>
      <c r="B142" s="34" t="s">
        <v>47</v>
      </c>
      <c r="C142" s="25" t="s">
        <v>48</v>
      </c>
      <c r="D142" s="36">
        <v>3</v>
      </c>
      <c r="E142" s="37"/>
      <c r="F142" s="38"/>
      <c r="G142" s="37"/>
      <c r="H142" s="38"/>
      <c r="I142" s="37">
        <f>450</f>
        <v>450</v>
      </c>
      <c r="J142" s="38">
        <f>I142*D142</f>
        <v>1350</v>
      </c>
      <c r="K142" s="32">
        <f t="shared" si="39"/>
        <v>1350</v>
      </c>
    </row>
    <row r="143" spans="1:11" s="39" customFormat="1" ht="13.8">
      <c r="A143" s="27"/>
      <c r="B143" s="34" t="s">
        <v>18</v>
      </c>
      <c r="C143" s="25"/>
      <c r="D143" s="36"/>
      <c r="E143" s="37"/>
      <c r="F143" s="38"/>
      <c r="G143" s="37"/>
      <c r="H143" s="38"/>
      <c r="I143" s="37"/>
      <c r="J143" s="38"/>
      <c r="K143" s="32"/>
    </row>
    <row r="144" spans="1:11" s="39" customFormat="1" ht="13.8">
      <c r="A144" s="27"/>
      <c r="B144" s="34" t="s">
        <v>49</v>
      </c>
      <c r="C144" s="25" t="s">
        <v>15</v>
      </c>
      <c r="D144" s="36">
        <f>D141</f>
        <v>236.17</v>
      </c>
      <c r="E144" s="37">
        <f>150*3.5/1.18</f>
        <v>444.91525423728814</v>
      </c>
      <c r="F144" s="38">
        <f>E144*D144</f>
        <v>105075.63559322033</v>
      </c>
      <c r="G144" s="37"/>
      <c r="H144" s="38"/>
      <c r="I144" s="37"/>
      <c r="J144" s="38"/>
      <c r="K144" s="32">
        <f t="shared" si="39"/>
        <v>105075.63559322033</v>
      </c>
    </row>
    <row r="145" spans="1:11" s="33" customFormat="1" ht="27.6">
      <c r="A145" s="27">
        <f>A140+1</f>
        <v>12</v>
      </c>
      <c r="B145" s="28" t="s">
        <v>50</v>
      </c>
      <c r="C145" s="23" t="s">
        <v>13</v>
      </c>
      <c r="D145" s="30">
        <v>798</v>
      </c>
      <c r="E145" s="41"/>
      <c r="F145" s="31"/>
      <c r="G145" s="41"/>
      <c r="H145" s="31"/>
      <c r="I145" s="41"/>
      <c r="J145" s="31"/>
      <c r="K145" s="32"/>
    </row>
    <row r="146" spans="1:11" s="39" customFormat="1" ht="13.8">
      <c r="A146" s="27"/>
      <c r="B146" s="34" t="s">
        <v>14</v>
      </c>
      <c r="C146" s="25" t="s">
        <v>15</v>
      </c>
      <c r="D146" s="36">
        <f>D145</f>
        <v>798</v>
      </c>
      <c r="E146" s="37"/>
      <c r="F146" s="38"/>
      <c r="G146" s="37">
        <f>2*1.3</f>
        <v>2.6</v>
      </c>
      <c r="H146" s="38">
        <f>G146*D146</f>
        <v>2074.8000000000002</v>
      </c>
      <c r="I146" s="37"/>
      <c r="J146" s="38"/>
      <c r="K146" s="32">
        <f t="shared" si="39"/>
        <v>2074.8000000000002</v>
      </c>
    </row>
    <row r="147" spans="1:11" s="39" customFormat="1" ht="13.8">
      <c r="A147" s="27"/>
      <c r="B147" s="34" t="s">
        <v>16</v>
      </c>
      <c r="C147" s="25" t="s">
        <v>17</v>
      </c>
      <c r="D147" s="36">
        <f>D145*0.0032/2</f>
        <v>1.2768000000000002</v>
      </c>
      <c r="E147" s="37"/>
      <c r="F147" s="38"/>
      <c r="G147" s="37"/>
      <c r="H147" s="38"/>
      <c r="I147" s="37">
        <v>3.2</v>
      </c>
      <c r="J147" s="38">
        <f>I147*D147</f>
        <v>4.0857600000000005</v>
      </c>
      <c r="K147" s="32">
        <f t="shared" si="39"/>
        <v>4.0857600000000005</v>
      </c>
    </row>
    <row r="148" spans="1:11" s="39" customFormat="1" ht="13.8">
      <c r="A148" s="27"/>
      <c r="B148" s="34" t="s">
        <v>18</v>
      </c>
      <c r="C148" s="25"/>
      <c r="D148" s="36"/>
      <c r="E148" s="37"/>
      <c r="F148" s="38"/>
      <c r="G148" s="37"/>
      <c r="H148" s="38"/>
      <c r="I148" s="37"/>
      <c r="J148" s="38"/>
      <c r="K148" s="32"/>
    </row>
    <row r="149" spans="1:11" s="39" customFormat="1" ht="13.8">
      <c r="A149" s="27"/>
      <c r="B149" s="34" t="s">
        <v>51</v>
      </c>
      <c r="C149" s="25" t="s">
        <v>15</v>
      </c>
      <c r="D149" s="36">
        <f>D145*1.05</f>
        <v>837.90000000000009</v>
      </c>
      <c r="E149" s="37">
        <f>6/1.18</f>
        <v>5.0847457627118651</v>
      </c>
      <c r="F149" s="38">
        <f>E149*D149</f>
        <v>4260.5084745762724</v>
      </c>
      <c r="G149" s="37"/>
      <c r="H149" s="38"/>
      <c r="I149" s="37"/>
      <c r="J149" s="38"/>
      <c r="K149" s="32">
        <f t="shared" si="39"/>
        <v>4260.5084745762724</v>
      </c>
    </row>
    <row r="150" spans="1:11" s="39" customFormat="1" ht="13.8">
      <c r="A150" s="27"/>
      <c r="B150" s="34" t="s">
        <v>52</v>
      </c>
      <c r="C150" s="25" t="s">
        <v>19</v>
      </c>
      <c r="D150" s="36">
        <f>D145*0.5</f>
        <v>399</v>
      </c>
      <c r="E150" s="37">
        <v>2.96</v>
      </c>
      <c r="F150" s="38">
        <f t="shared" ref="F150:F151" si="40">E150*D150</f>
        <v>1181.04</v>
      </c>
      <c r="G150" s="37"/>
      <c r="H150" s="38"/>
      <c r="I150" s="37"/>
      <c r="J150" s="38"/>
      <c r="K150" s="32">
        <f t="shared" si="39"/>
        <v>1181.04</v>
      </c>
    </row>
    <row r="151" spans="1:11" s="39" customFormat="1" ht="13.8">
      <c r="A151" s="27"/>
      <c r="B151" s="34" t="s">
        <v>53</v>
      </c>
      <c r="C151" s="25" t="s">
        <v>19</v>
      </c>
      <c r="D151" s="36">
        <f>D145*0.05</f>
        <v>39.900000000000006</v>
      </c>
      <c r="E151" s="37">
        <v>4.5</v>
      </c>
      <c r="F151" s="38">
        <f t="shared" si="40"/>
        <v>179.55</v>
      </c>
      <c r="G151" s="37"/>
      <c r="H151" s="38"/>
      <c r="I151" s="37"/>
      <c r="J151" s="38"/>
      <c r="K151" s="32">
        <f t="shared" si="39"/>
        <v>179.55</v>
      </c>
    </row>
    <row r="152" spans="1:11" s="33" customFormat="1" ht="27.6">
      <c r="A152" s="27">
        <f>A145+1</f>
        <v>13</v>
      </c>
      <c r="B152" s="28" t="s">
        <v>150</v>
      </c>
      <c r="C152" s="23" t="s">
        <v>13</v>
      </c>
      <c r="D152" s="30">
        <f>D145</f>
        <v>798</v>
      </c>
      <c r="E152" s="41"/>
      <c r="F152" s="31"/>
      <c r="G152" s="41"/>
      <c r="H152" s="31"/>
      <c r="I152" s="41"/>
      <c r="J152" s="31"/>
      <c r="K152" s="32"/>
    </row>
    <row r="153" spans="1:11" s="39" customFormat="1" ht="13.8">
      <c r="A153" s="27"/>
      <c r="B153" s="34" t="s">
        <v>14</v>
      </c>
      <c r="C153" s="25" t="s">
        <v>15</v>
      </c>
      <c r="D153" s="36">
        <f>D152</f>
        <v>798</v>
      </c>
      <c r="E153" s="37"/>
      <c r="F153" s="38"/>
      <c r="G153" s="37">
        <f>2/0.8/0.96</f>
        <v>2.604166666666667</v>
      </c>
      <c r="H153" s="38">
        <f>G153*D153</f>
        <v>2078.1250000000005</v>
      </c>
      <c r="I153" s="37"/>
      <c r="J153" s="38"/>
      <c r="K153" s="32">
        <f t="shared" si="39"/>
        <v>2078.1250000000005</v>
      </c>
    </row>
    <row r="154" spans="1:11" s="39" customFormat="1" ht="13.8">
      <c r="A154" s="27"/>
      <c r="B154" s="34" t="s">
        <v>16</v>
      </c>
      <c r="C154" s="25" t="s">
        <v>17</v>
      </c>
      <c r="D154" s="36">
        <f>D152*0.09</f>
        <v>71.819999999999993</v>
      </c>
      <c r="E154" s="37"/>
      <c r="F154" s="38"/>
      <c r="G154" s="37"/>
      <c r="H154" s="38"/>
      <c r="I154" s="37">
        <v>3.2</v>
      </c>
      <c r="J154" s="38">
        <f>I154*D154</f>
        <v>229.82399999999998</v>
      </c>
      <c r="K154" s="32">
        <f t="shared" si="39"/>
        <v>229.82399999999998</v>
      </c>
    </row>
    <row r="155" spans="1:11" s="39" customFormat="1" ht="13.8">
      <c r="A155" s="27"/>
      <c r="B155" s="34" t="s">
        <v>18</v>
      </c>
      <c r="C155" s="25"/>
      <c r="D155" s="36"/>
      <c r="E155" s="37"/>
      <c r="F155" s="38"/>
      <c r="G155" s="37"/>
      <c r="H155" s="38"/>
      <c r="I155" s="37"/>
      <c r="J155" s="38"/>
      <c r="K155" s="32"/>
    </row>
    <row r="156" spans="1:11" s="39" customFormat="1" ht="13.8">
      <c r="A156" s="27"/>
      <c r="B156" s="34" t="s">
        <v>54</v>
      </c>
      <c r="C156" s="25" t="s">
        <v>15</v>
      </c>
      <c r="D156" s="36">
        <f>D152*1.01</f>
        <v>805.98</v>
      </c>
      <c r="E156" s="37">
        <f>13/1.18</f>
        <v>11.016949152542374</v>
      </c>
      <c r="F156" s="38">
        <f>E156*D156</f>
        <v>8879.4406779661022</v>
      </c>
      <c r="G156" s="37"/>
      <c r="H156" s="38"/>
      <c r="I156" s="37"/>
      <c r="J156" s="38"/>
      <c r="K156" s="32">
        <f t="shared" si="39"/>
        <v>8879.4406779661022</v>
      </c>
    </row>
    <row r="157" spans="1:11" s="39" customFormat="1" ht="13.8">
      <c r="A157" s="27"/>
      <c r="B157" s="34" t="s">
        <v>55</v>
      </c>
      <c r="C157" s="25" t="s">
        <v>31</v>
      </c>
      <c r="D157" s="36">
        <f>D152*3</f>
        <v>2394</v>
      </c>
      <c r="E157" s="37">
        <v>0.15</v>
      </c>
      <c r="F157" s="38">
        <f t="shared" ref="F157:F158" si="41">E157*D157</f>
        <v>359.09999999999997</v>
      </c>
      <c r="G157" s="37"/>
      <c r="H157" s="38"/>
      <c r="I157" s="37"/>
      <c r="J157" s="38"/>
      <c r="K157" s="32">
        <f t="shared" si="39"/>
        <v>359.09999999999997</v>
      </c>
    </row>
    <row r="158" spans="1:11" s="39" customFormat="1" ht="13.8">
      <c r="A158" s="27"/>
      <c r="B158" s="34" t="s">
        <v>26</v>
      </c>
      <c r="C158" s="25" t="s">
        <v>17</v>
      </c>
      <c r="D158" s="36">
        <f>D152*0.03</f>
        <v>23.939999999999998</v>
      </c>
      <c r="E158" s="37">
        <v>3.2</v>
      </c>
      <c r="F158" s="38">
        <f t="shared" si="41"/>
        <v>76.60799999999999</v>
      </c>
      <c r="G158" s="37"/>
      <c r="H158" s="38"/>
      <c r="I158" s="37"/>
      <c r="J158" s="38"/>
      <c r="K158" s="32">
        <f t="shared" si="39"/>
        <v>76.60799999999999</v>
      </c>
    </row>
    <row r="159" spans="1:11" s="33" customFormat="1" ht="27.6">
      <c r="A159" s="27">
        <f>A152+1</f>
        <v>14</v>
      </c>
      <c r="B159" s="28" t="s">
        <v>56</v>
      </c>
      <c r="C159" s="23" t="s">
        <v>13</v>
      </c>
      <c r="D159" s="30">
        <f>D152</f>
        <v>798</v>
      </c>
      <c r="E159" s="41"/>
      <c r="F159" s="31"/>
      <c r="G159" s="41"/>
      <c r="H159" s="31"/>
      <c r="I159" s="41"/>
      <c r="J159" s="31"/>
      <c r="K159" s="32"/>
    </row>
    <row r="160" spans="1:11" s="39" customFormat="1" ht="13.8">
      <c r="A160" s="27"/>
      <c r="B160" s="34" t="s">
        <v>14</v>
      </c>
      <c r="C160" s="25" t="s">
        <v>15</v>
      </c>
      <c r="D160" s="36">
        <f>D159</f>
        <v>798</v>
      </c>
      <c r="E160" s="37"/>
      <c r="F160" s="38"/>
      <c r="G160" s="37">
        <f>7/0.8/0.96</f>
        <v>9.1145833333333339</v>
      </c>
      <c r="H160" s="38">
        <f>G160*D160</f>
        <v>7273.4375000000009</v>
      </c>
      <c r="I160" s="37"/>
      <c r="J160" s="38"/>
      <c r="K160" s="32">
        <f t="shared" si="39"/>
        <v>7273.4375000000009</v>
      </c>
    </row>
    <row r="161" spans="1:11" s="39" customFormat="1" ht="13.8">
      <c r="A161" s="27"/>
      <c r="B161" s="34" t="s">
        <v>16</v>
      </c>
      <c r="C161" s="25" t="s">
        <v>17</v>
      </c>
      <c r="D161" s="36">
        <f>D159*0.8</f>
        <v>638.40000000000009</v>
      </c>
      <c r="E161" s="37"/>
      <c r="F161" s="38"/>
      <c r="G161" s="37"/>
      <c r="H161" s="38"/>
      <c r="I161" s="37">
        <v>3.2</v>
      </c>
      <c r="J161" s="38">
        <f>I161*D161</f>
        <v>2042.8800000000003</v>
      </c>
      <c r="K161" s="32">
        <f t="shared" si="39"/>
        <v>2042.8800000000003</v>
      </c>
    </row>
    <row r="162" spans="1:11" s="39" customFormat="1" ht="13.8">
      <c r="A162" s="27"/>
      <c r="B162" s="34" t="s">
        <v>18</v>
      </c>
      <c r="C162" s="25"/>
      <c r="D162" s="36"/>
      <c r="E162" s="37"/>
      <c r="F162" s="38"/>
      <c r="G162" s="37"/>
      <c r="H162" s="38"/>
      <c r="I162" s="37"/>
      <c r="J162" s="38"/>
      <c r="K162" s="32"/>
    </row>
    <row r="163" spans="1:11" s="39" customFormat="1" ht="13.8">
      <c r="A163" s="27"/>
      <c r="B163" s="34" t="s">
        <v>42</v>
      </c>
      <c r="C163" s="35" t="s">
        <v>21</v>
      </c>
      <c r="D163" s="36">
        <f>D159*0.07</f>
        <v>55.860000000000007</v>
      </c>
      <c r="E163" s="37">
        <v>105</v>
      </c>
      <c r="F163" s="38">
        <f>E163*D163</f>
        <v>5865.3000000000011</v>
      </c>
      <c r="G163" s="37"/>
      <c r="H163" s="38"/>
      <c r="I163" s="37"/>
      <c r="J163" s="38"/>
      <c r="K163" s="32">
        <f t="shared" si="39"/>
        <v>5865.3000000000011</v>
      </c>
    </row>
    <row r="164" spans="1:11" s="39" customFormat="1" ht="13.8">
      <c r="A164" s="27"/>
      <c r="B164" s="34" t="s">
        <v>43</v>
      </c>
      <c r="C164" s="35" t="s">
        <v>21</v>
      </c>
      <c r="D164" s="36">
        <f>D159*0.08*1.25</f>
        <v>79.800000000000011</v>
      </c>
      <c r="E164" s="37">
        <f>50/1.18</f>
        <v>42.372881355932208</v>
      </c>
      <c r="F164" s="38">
        <f>E164*D164</f>
        <v>3381.3559322033907</v>
      </c>
      <c r="G164" s="37">
        <f>45/1.18</f>
        <v>38.135593220338983</v>
      </c>
      <c r="H164" s="38">
        <f>G164*D164</f>
        <v>3043.2203389830511</v>
      </c>
      <c r="I164" s="37"/>
      <c r="J164" s="38"/>
      <c r="K164" s="32">
        <f t="shared" si="39"/>
        <v>6424.5762711864418</v>
      </c>
    </row>
    <row r="165" spans="1:11" s="39" customFormat="1" ht="13.8">
      <c r="A165" s="27"/>
      <c r="B165" s="34" t="s">
        <v>57</v>
      </c>
      <c r="C165" s="25" t="s">
        <v>15</v>
      </c>
      <c r="D165" s="36">
        <f>D159</f>
        <v>798</v>
      </c>
      <c r="E165" s="37">
        <f>4</f>
        <v>4</v>
      </c>
      <c r="F165" s="38">
        <f t="shared" ref="F165:F167" si="42">E165*D165</f>
        <v>3192</v>
      </c>
      <c r="G165" s="37"/>
      <c r="H165" s="38"/>
      <c r="I165" s="37"/>
      <c r="J165" s="38"/>
      <c r="K165" s="32">
        <f t="shared" si="39"/>
        <v>3192</v>
      </c>
    </row>
    <row r="166" spans="1:11" s="39" customFormat="1" ht="13.8">
      <c r="A166" s="27"/>
      <c r="B166" s="34" t="s">
        <v>58</v>
      </c>
      <c r="C166" s="25" t="s">
        <v>31</v>
      </c>
      <c r="D166" s="36">
        <f>D160*5</f>
        <v>3990</v>
      </c>
      <c r="E166" s="37">
        <f>0.15/1.18</f>
        <v>0.1271186440677966</v>
      </c>
      <c r="F166" s="38">
        <f t="shared" si="42"/>
        <v>507.20338983050846</v>
      </c>
      <c r="G166" s="37"/>
      <c r="H166" s="38"/>
      <c r="I166" s="37"/>
      <c r="J166" s="38"/>
      <c r="K166" s="32">
        <f t="shared" si="39"/>
        <v>507.20338983050846</v>
      </c>
    </row>
    <row r="167" spans="1:11" s="39" customFormat="1" ht="13.8">
      <c r="A167" s="27"/>
      <c r="B167" s="34" t="s">
        <v>26</v>
      </c>
      <c r="C167" s="25" t="s">
        <v>17</v>
      </c>
      <c r="D167" s="36">
        <f>D159*0.0636</f>
        <v>50.752800000000001</v>
      </c>
      <c r="E167" s="37">
        <v>3.2</v>
      </c>
      <c r="F167" s="38">
        <f t="shared" si="42"/>
        <v>162.40896000000001</v>
      </c>
      <c r="G167" s="37"/>
      <c r="H167" s="38"/>
      <c r="I167" s="37"/>
      <c r="J167" s="38"/>
      <c r="K167" s="32">
        <f t="shared" si="39"/>
        <v>162.40896000000001</v>
      </c>
    </row>
    <row r="168" spans="1:11" s="33" customFormat="1" ht="27.6">
      <c r="A168" s="27">
        <f>A159+1</f>
        <v>15</v>
      </c>
      <c r="B168" s="28" t="s">
        <v>151</v>
      </c>
      <c r="C168" s="23" t="s">
        <v>13</v>
      </c>
      <c r="D168" s="30">
        <f>D159</f>
        <v>798</v>
      </c>
      <c r="E168" s="41"/>
      <c r="F168" s="31"/>
      <c r="G168" s="41"/>
      <c r="H168" s="31"/>
      <c r="I168" s="41"/>
      <c r="J168" s="31"/>
      <c r="K168" s="32"/>
    </row>
    <row r="169" spans="1:11" s="39" customFormat="1" ht="13.8">
      <c r="A169" s="27"/>
      <c r="B169" s="34" t="s">
        <v>14</v>
      </c>
      <c r="C169" s="25" t="s">
        <v>15</v>
      </c>
      <c r="D169" s="36">
        <f>D168</f>
        <v>798</v>
      </c>
      <c r="E169" s="37"/>
      <c r="F169" s="38"/>
      <c r="G169" s="37">
        <f>7/0.8/0.96</f>
        <v>9.1145833333333339</v>
      </c>
      <c r="H169" s="38">
        <f>G169*D169</f>
        <v>7273.4375000000009</v>
      </c>
      <c r="I169" s="37"/>
      <c r="J169" s="38"/>
      <c r="K169" s="32">
        <f t="shared" si="39"/>
        <v>7273.4375000000009</v>
      </c>
    </row>
    <row r="170" spans="1:11" s="39" customFormat="1" ht="13.8">
      <c r="A170" s="27"/>
      <c r="B170" s="34" t="s">
        <v>16</v>
      </c>
      <c r="C170" s="25" t="s">
        <v>17</v>
      </c>
      <c r="D170" s="36">
        <f>D168*0.0032</f>
        <v>2.5536000000000003</v>
      </c>
      <c r="E170" s="37"/>
      <c r="F170" s="38"/>
      <c r="G170" s="37"/>
      <c r="H170" s="38"/>
      <c r="I170" s="37">
        <v>3.2</v>
      </c>
      <c r="J170" s="38">
        <f>I170*D170</f>
        <v>8.171520000000001</v>
      </c>
      <c r="K170" s="32">
        <f t="shared" si="39"/>
        <v>8.171520000000001</v>
      </c>
    </row>
    <row r="171" spans="1:11" s="39" customFormat="1" ht="13.8">
      <c r="A171" s="27"/>
      <c r="B171" s="34" t="s">
        <v>18</v>
      </c>
      <c r="C171" s="25"/>
      <c r="D171" s="36"/>
      <c r="E171" s="37"/>
      <c r="F171" s="38"/>
      <c r="G171" s="37"/>
      <c r="H171" s="38"/>
      <c r="I171" s="37"/>
      <c r="J171" s="38"/>
      <c r="K171" s="32"/>
    </row>
    <row r="172" spans="1:11" s="39" customFormat="1" ht="13.8">
      <c r="A172" s="27"/>
      <c r="B172" s="34" t="s">
        <v>51</v>
      </c>
      <c r="C172" s="25" t="s">
        <v>15</v>
      </c>
      <c r="D172" s="36">
        <f>D168*1.05</f>
        <v>837.90000000000009</v>
      </c>
      <c r="E172" s="37">
        <f>E149</f>
        <v>5.0847457627118651</v>
      </c>
      <c r="F172" s="38">
        <f>E172*D172</f>
        <v>4260.5084745762724</v>
      </c>
      <c r="G172" s="37"/>
      <c r="H172" s="38"/>
      <c r="I172" s="37"/>
      <c r="J172" s="38"/>
      <c r="K172" s="32">
        <f t="shared" si="39"/>
        <v>4260.5084745762724</v>
      </c>
    </row>
    <row r="173" spans="1:11" s="39" customFormat="1" ht="13.8">
      <c r="A173" s="27"/>
      <c r="B173" s="34" t="s">
        <v>59</v>
      </c>
      <c r="C173" s="25" t="s">
        <v>15</v>
      </c>
      <c r="D173" s="36">
        <f>D169*1.05</f>
        <v>837.90000000000009</v>
      </c>
      <c r="E173" s="37">
        <f>7/1.18</f>
        <v>5.9322033898305087</v>
      </c>
      <c r="F173" s="38">
        <f>E173*D173</f>
        <v>4970.5932203389839</v>
      </c>
      <c r="G173" s="37"/>
      <c r="H173" s="38"/>
      <c r="I173" s="37"/>
      <c r="J173" s="38"/>
      <c r="K173" s="32">
        <f t="shared" si="39"/>
        <v>4970.5932203389839</v>
      </c>
    </row>
    <row r="174" spans="1:11" s="39" customFormat="1" ht="13.8">
      <c r="A174" s="27"/>
      <c r="B174" s="34" t="s">
        <v>52</v>
      </c>
      <c r="C174" s="25" t="s">
        <v>19</v>
      </c>
      <c r="D174" s="36">
        <f>D168*0.35</f>
        <v>279.29999999999995</v>
      </c>
      <c r="E174" s="37">
        <v>2.96</v>
      </c>
      <c r="F174" s="38">
        <f t="shared" ref="F174:F175" si="43">E174*D174</f>
        <v>826.72799999999984</v>
      </c>
      <c r="G174" s="37"/>
      <c r="H174" s="38"/>
      <c r="I174" s="37"/>
      <c r="J174" s="38"/>
      <c r="K174" s="32">
        <f t="shared" si="39"/>
        <v>826.72799999999984</v>
      </c>
    </row>
    <row r="175" spans="1:11" s="39" customFormat="1" ht="13.8">
      <c r="A175" s="27"/>
      <c r="B175" s="34" t="s">
        <v>53</v>
      </c>
      <c r="C175" s="25" t="s">
        <v>19</v>
      </c>
      <c r="D175" s="36">
        <f>D168*0.05</f>
        <v>39.900000000000006</v>
      </c>
      <c r="E175" s="37">
        <v>4.5</v>
      </c>
      <c r="F175" s="38">
        <f t="shared" si="43"/>
        <v>179.55</v>
      </c>
      <c r="G175" s="37"/>
      <c r="H175" s="38"/>
      <c r="I175" s="37"/>
      <c r="J175" s="38"/>
      <c r="K175" s="32">
        <f t="shared" si="39"/>
        <v>179.55</v>
      </c>
    </row>
    <row r="176" spans="1:11" s="33" customFormat="1" ht="13.8">
      <c r="A176" s="27">
        <f>A168+1</f>
        <v>16</v>
      </c>
      <c r="B176" s="28" t="s">
        <v>60</v>
      </c>
      <c r="C176" s="23" t="s">
        <v>13</v>
      </c>
      <c r="D176" s="30">
        <f>D168</f>
        <v>798</v>
      </c>
      <c r="E176" s="41"/>
      <c r="F176" s="31"/>
      <c r="G176" s="41"/>
      <c r="H176" s="31"/>
      <c r="I176" s="41"/>
      <c r="J176" s="31"/>
      <c r="K176" s="32"/>
    </row>
    <row r="177" spans="1:11" s="39" customFormat="1" ht="13.8">
      <c r="A177" s="27"/>
      <c r="B177" s="34" t="s">
        <v>14</v>
      </c>
      <c r="C177" s="25" t="s">
        <v>15</v>
      </c>
      <c r="D177" s="36">
        <f>D176</f>
        <v>798</v>
      </c>
      <c r="E177" s="37"/>
      <c r="F177" s="38"/>
      <c r="G177" s="37">
        <f>G153</f>
        <v>2.604166666666667</v>
      </c>
      <c r="H177" s="38">
        <f>G177*D177</f>
        <v>2078.1250000000005</v>
      </c>
      <c r="I177" s="37"/>
      <c r="J177" s="38"/>
      <c r="K177" s="32">
        <f t="shared" si="39"/>
        <v>2078.1250000000005</v>
      </c>
    </row>
    <row r="178" spans="1:11" s="39" customFormat="1" ht="13.8">
      <c r="A178" s="27"/>
      <c r="B178" s="34" t="s">
        <v>16</v>
      </c>
      <c r="C178" s="25" t="s">
        <v>17</v>
      </c>
      <c r="D178" s="36">
        <f>D176*0.0032/2</f>
        <v>1.2768000000000002</v>
      </c>
      <c r="E178" s="37"/>
      <c r="F178" s="38"/>
      <c r="G178" s="37"/>
      <c r="H178" s="38"/>
      <c r="I178" s="37">
        <v>3.2</v>
      </c>
      <c r="J178" s="38">
        <f>I178*D178</f>
        <v>4.0857600000000005</v>
      </c>
      <c r="K178" s="32">
        <f t="shared" si="39"/>
        <v>4.0857600000000005</v>
      </c>
    </row>
    <row r="179" spans="1:11" s="39" customFormat="1" ht="13.8">
      <c r="A179" s="27"/>
      <c r="B179" s="34" t="s">
        <v>18</v>
      </c>
      <c r="C179" s="25"/>
      <c r="D179" s="36"/>
      <c r="E179" s="37"/>
      <c r="F179" s="38"/>
      <c r="G179" s="37"/>
      <c r="H179" s="38"/>
      <c r="I179" s="37"/>
      <c r="J179" s="38"/>
      <c r="K179" s="32"/>
    </row>
    <row r="180" spans="1:11" s="39" customFormat="1" ht="13.8">
      <c r="A180" s="27"/>
      <c r="B180" s="34" t="s">
        <v>61</v>
      </c>
      <c r="C180" s="25" t="s">
        <v>15</v>
      </c>
      <c r="D180" s="36">
        <f>D176*1.05</f>
        <v>837.90000000000009</v>
      </c>
      <c r="E180" s="37">
        <f>E173</f>
        <v>5.9322033898305087</v>
      </c>
      <c r="F180" s="38">
        <f>E180*D180</f>
        <v>4970.5932203389839</v>
      </c>
      <c r="G180" s="37"/>
      <c r="H180" s="38"/>
      <c r="I180" s="37"/>
      <c r="J180" s="38"/>
      <c r="K180" s="32">
        <f t="shared" si="39"/>
        <v>4970.5932203389839</v>
      </c>
    </row>
    <row r="181" spans="1:11" s="39" customFormat="1" ht="13.8">
      <c r="A181" s="27"/>
      <c r="B181" s="34" t="s">
        <v>52</v>
      </c>
      <c r="C181" s="25" t="s">
        <v>19</v>
      </c>
      <c r="D181" s="36">
        <f>D176*0.35/2</f>
        <v>139.64999999999998</v>
      </c>
      <c r="E181" s="37">
        <v>2.96</v>
      </c>
      <c r="F181" s="38">
        <f t="shared" ref="F181:F182" si="44">E181*D181</f>
        <v>413.36399999999992</v>
      </c>
      <c r="G181" s="37"/>
      <c r="H181" s="38"/>
      <c r="I181" s="37"/>
      <c r="J181" s="38"/>
      <c r="K181" s="32">
        <f t="shared" si="39"/>
        <v>413.36399999999992</v>
      </c>
    </row>
    <row r="182" spans="1:11" s="39" customFormat="1" ht="13.8">
      <c r="A182" s="27"/>
      <c r="B182" s="34" t="s">
        <v>53</v>
      </c>
      <c r="C182" s="25" t="s">
        <v>19</v>
      </c>
      <c r="D182" s="36">
        <f>D176*0.05/2</f>
        <v>19.950000000000003</v>
      </c>
      <c r="E182" s="37">
        <v>4.5</v>
      </c>
      <c r="F182" s="38">
        <f t="shared" si="44"/>
        <v>89.775000000000006</v>
      </c>
      <c r="G182" s="37"/>
      <c r="H182" s="38"/>
      <c r="I182" s="37"/>
      <c r="J182" s="38"/>
      <c r="K182" s="32">
        <f t="shared" si="39"/>
        <v>89.775000000000006</v>
      </c>
    </row>
    <row r="183" spans="1:11" s="33" customFormat="1" ht="27.6">
      <c r="A183" s="27">
        <f>A176+1</f>
        <v>17</v>
      </c>
      <c r="B183" s="28" t="s">
        <v>62</v>
      </c>
      <c r="C183" s="23" t="s">
        <v>13</v>
      </c>
      <c r="D183" s="30">
        <f>83*1.1</f>
        <v>91.300000000000011</v>
      </c>
      <c r="E183" s="41"/>
      <c r="F183" s="31"/>
      <c r="G183" s="41"/>
      <c r="H183" s="31"/>
      <c r="I183" s="41"/>
      <c r="J183" s="31"/>
      <c r="K183" s="32"/>
    </row>
    <row r="184" spans="1:11" s="39" customFormat="1" ht="13.8">
      <c r="A184" s="27"/>
      <c r="B184" s="34" t="s">
        <v>14</v>
      </c>
      <c r="C184" s="25" t="s">
        <v>15</v>
      </c>
      <c r="D184" s="36">
        <f>D183</f>
        <v>91.300000000000011</v>
      </c>
      <c r="E184" s="37"/>
      <c r="F184" s="38"/>
      <c r="G184" s="37">
        <f>20*1.3</f>
        <v>26</v>
      </c>
      <c r="H184" s="38">
        <f>G184*D184</f>
        <v>2373.8000000000002</v>
      </c>
      <c r="I184" s="37"/>
      <c r="J184" s="38"/>
      <c r="K184" s="32">
        <f t="shared" si="39"/>
        <v>2373.8000000000002</v>
      </c>
    </row>
    <row r="185" spans="1:11" s="39" customFormat="1" ht="13.8">
      <c r="A185" s="27"/>
      <c r="B185" s="34" t="s">
        <v>16</v>
      </c>
      <c r="C185" s="25" t="s">
        <v>17</v>
      </c>
      <c r="D185" s="36">
        <f>D183*0.04</f>
        <v>3.6520000000000006</v>
      </c>
      <c r="E185" s="37"/>
      <c r="F185" s="38"/>
      <c r="G185" s="37"/>
      <c r="H185" s="38"/>
      <c r="I185" s="37">
        <v>3.2</v>
      </c>
      <c r="J185" s="38">
        <f>I185*D185</f>
        <v>11.686400000000003</v>
      </c>
      <c r="K185" s="32">
        <f t="shared" si="39"/>
        <v>11.686400000000003</v>
      </c>
    </row>
    <row r="186" spans="1:11" s="39" customFormat="1" ht="13.8">
      <c r="A186" s="27"/>
      <c r="B186" s="34" t="s">
        <v>18</v>
      </c>
      <c r="C186" s="25"/>
      <c r="D186" s="36"/>
      <c r="E186" s="37"/>
      <c r="F186" s="38"/>
      <c r="G186" s="37"/>
      <c r="H186" s="38"/>
      <c r="I186" s="37"/>
      <c r="J186" s="38"/>
      <c r="K186" s="32"/>
    </row>
    <row r="187" spans="1:11" s="39" customFormat="1" ht="13.8">
      <c r="A187" s="27"/>
      <c r="B187" s="34" t="s">
        <v>63</v>
      </c>
      <c r="C187" s="25" t="s">
        <v>15</v>
      </c>
      <c r="D187" s="36">
        <f>D183</f>
        <v>91.300000000000011</v>
      </c>
      <c r="E187" s="37">
        <f>100/1.18</f>
        <v>84.745762711864415</v>
      </c>
      <c r="F187" s="38">
        <f>E187*D187</f>
        <v>7737.2881355932223</v>
      </c>
      <c r="G187" s="37"/>
      <c r="H187" s="38"/>
      <c r="I187" s="37"/>
      <c r="J187" s="38"/>
      <c r="K187" s="32">
        <f t="shared" si="39"/>
        <v>7737.2881355932223</v>
      </c>
    </row>
    <row r="188" spans="1:11" s="39" customFormat="1" ht="13.8">
      <c r="A188" s="27"/>
      <c r="B188" s="34" t="s">
        <v>26</v>
      </c>
      <c r="C188" s="25" t="s">
        <v>17</v>
      </c>
      <c r="D188" s="36">
        <f>D183*0.0534</f>
        <v>4.875420000000001</v>
      </c>
      <c r="E188" s="37">
        <v>3.2</v>
      </c>
      <c r="F188" s="38">
        <f>E188*D188</f>
        <v>15.601344000000005</v>
      </c>
      <c r="G188" s="37"/>
      <c r="H188" s="38"/>
      <c r="I188" s="37"/>
      <c r="J188" s="38"/>
      <c r="K188" s="32">
        <f t="shared" si="39"/>
        <v>15.601344000000005</v>
      </c>
    </row>
    <row r="189" spans="1:11" s="33" customFormat="1" ht="27.6">
      <c r="A189" s="27">
        <f>A183+1</f>
        <v>18</v>
      </c>
      <c r="B189" s="28" t="s">
        <v>64</v>
      </c>
      <c r="C189" s="23" t="s">
        <v>65</v>
      </c>
      <c r="D189" s="30">
        <v>150.6</v>
      </c>
      <c r="E189" s="41"/>
      <c r="F189" s="31"/>
      <c r="G189" s="41"/>
      <c r="H189" s="31"/>
      <c r="I189" s="41"/>
      <c r="J189" s="31"/>
      <c r="K189" s="32"/>
    </row>
    <row r="190" spans="1:11" s="39" customFormat="1" ht="13.8">
      <c r="A190" s="27"/>
      <c r="B190" s="34" t="s">
        <v>14</v>
      </c>
      <c r="C190" s="25" t="s">
        <v>65</v>
      </c>
      <c r="D190" s="36">
        <f>D189</f>
        <v>150.6</v>
      </c>
      <c r="E190" s="37"/>
      <c r="F190" s="38"/>
      <c r="G190" s="37">
        <f>G184</f>
        <v>26</v>
      </c>
      <c r="H190" s="38">
        <f>G190*D190</f>
        <v>3915.6</v>
      </c>
      <c r="I190" s="37"/>
      <c r="J190" s="38"/>
      <c r="K190" s="32">
        <f t="shared" si="39"/>
        <v>3915.6</v>
      </c>
    </row>
    <row r="191" spans="1:11" s="39" customFormat="1" ht="13.8">
      <c r="A191" s="27"/>
      <c r="B191" s="34" t="s">
        <v>16</v>
      </c>
      <c r="C191" s="25" t="s">
        <v>17</v>
      </c>
      <c r="D191" s="36">
        <f>D189*0.04</f>
        <v>6.024</v>
      </c>
      <c r="E191" s="37"/>
      <c r="F191" s="38"/>
      <c r="G191" s="37"/>
      <c r="H191" s="38"/>
      <c r="I191" s="37">
        <v>3.2</v>
      </c>
      <c r="J191" s="38">
        <f>I191*D191</f>
        <v>19.276800000000001</v>
      </c>
      <c r="K191" s="32">
        <f t="shared" si="39"/>
        <v>19.276800000000001</v>
      </c>
    </row>
    <row r="192" spans="1:11" s="39" customFormat="1" ht="13.8">
      <c r="A192" s="27"/>
      <c r="B192" s="34" t="s">
        <v>18</v>
      </c>
      <c r="C192" s="25"/>
      <c r="D192" s="36"/>
      <c r="E192" s="37"/>
      <c r="F192" s="38"/>
      <c r="G192" s="37"/>
      <c r="H192" s="38"/>
      <c r="I192" s="37"/>
      <c r="J192" s="38"/>
      <c r="K192" s="32"/>
    </row>
    <row r="193" spans="1:13" s="39" customFormat="1" ht="13.8">
      <c r="A193" s="27"/>
      <c r="B193" s="34" t="s">
        <v>63</v>
      </c>
      <c r="C193" s="25" t="s">
        <v>65</v>
      </c>
      <c r="D193" s="36">
        <f>D189</f>
        <v>150.6</v>
      </c>
      <c r="E193" s="37">
        <f>65/1.18</f>
        <v>55.084745762711869</v>
      </c>
      <c r="F193" s="38">
        <f>E193*D193</f>
        <v>8295.7627118644068</v>
      </c>
      <c r="G193" s="37"/>
      <c r="H193" s="38"/>
      <c r="I193" s="37"/>
      <c r="J193" s="38"/>
      <c r="K193" s="32">
        <f t="shared" si="39"/>
        <v>8295.7627118644068</v>
      </c>
    </row>
    <row r="194" spans="1:13" s="39" customFormat="1" ht="13.8">
      <c r="A194" s="27"/>
      <c r="B194" s="34" t="s">
        <v>26</v>
      </c>
      <c r="C194" s="25" t="s">
        <v>17</v>
      </c>
      <c r="D194" s="36">
        <f>D189*0.0534</f>
        <v>8.0420400000000001</v>
      </c>
      <c r="E194" s="37">
        <v>3.2</v>
      </c>
      <c r="F194" s="38">
        <f>E194*D194</f>
        <v>25.734528000000001</v>
      </c>
      <c r="G194" s="37"/>
      <c r="H194" s="38"/>
      <c r="I194" s="37"/>
      <c r="J194" s="38"/>
      <c r="K194" s="32">
        <f t="shared" si="39"/>
        <v>25.734528000000001</v>
      </c>
    </row>
    <row r="195" spans="1:13" s="33" customFormat="1" ht="27.6">
      <c r="A195" s="27">
        <f>A189+1</f>
        <v>19</v>
      </c>
      <c r="B195" s="28" t="s">
        <v>135</v>
      </c>
      <c r="C195" s="23" t="s">
        <v>65</v>
      </c>
      <c r="D195" s="30">
        <f>14.3+11.7+20</f>
        <v>46</v>
      </c>
      <c r="E195" s="41"/>
      <c r="F195" s="31"/>
      <c r="G195" s="41"/>
      <c r="H195" s="31"/>
      <c r="I195" s="41"/>
      <c r="J195" s="31"/>
      <c r="K195" s="32"/>
    </row>
    <row r="196" spans="1:13" s="39" customFormat="1" ht="13.8">
      <c r="A196" s="27"/>
      <c r="B196" s="34" t="s">
        <v>14</v>
      </c>
      <c r="C196" s="25" t="s">
        <v>65</v>
      </c>
      <c r="D196" s="36">
        <f>D195</f>
        <v>46</v>
      </c>
      <c r="E196" s="37"/>
      <c r="F196" s="38"/>
      <c r="G196" s="37">
        <f>G190</f>
        <v>26</v>
      </c>
      <c r="H196" s="38">
        <f>G196*D196</f>
        <v>1196</v>
      </c>
      <c r="I196" s="37"/>
      <c r="J196" s="38"/>
      <c r="K196" s="32">
        <f t="shared" ref="K196:K197" si="45">J196+H196+F196</f>
        <v>1196</v>
      </c>
    </row>
    <row r="197" spans="1:13" s="39" customFormat="1" ht="13.8">
      <c r="A197" s="27"/>
      <c r="B197" s="34" t="s">
        <v>16</v>
      </c>
      <c r="C197" s="25" t="s">
        <v>17</v>
      </c>
      <c r="D197" s="36">
        <f>D195*0.04</f>
        <v>1.84</v>
      </c>
      <c r="E197" s="37"/>
      <c r="F197" s="38"/>
      <c r="G197" s="37"/>
      <c r="H197" s="38"/>
      <c r="I197" s="37">
        <v>3.2</v>
      </c>
      <c r="J197" s="38">
        <f>I197*D197</f>
        <v>5.8880000000000008</v>
      </c>
      <c r="K197" s="32">
        <f t="shared" si="45"/>
        <v>5.8880000000000008</v>
      </c>
    </row>
    <row r="198" spans="1:13" s="39" customFormat="1" ht="13.8">
      <c r="A198" s="27"/>
      <c r="B198" s="34" t="s">
        <v>18</v>
      </c>
      <c r="C198" s="25"/>
      <c r="D198" s="36"/>
      <c r="E198" s="37"/>
      <c r="F198" s="38"/>
      <c r="G198" s="37"/>
      <c r="H198" s="38"/>
      <c r="I198" s="37"/>
      <c r="J198" s="38"/>
      <c r="K198" s="32"/>
    </row>
    <row r="199" spans="1:13" s="39" customFormat="1" ht="13.8">
      <c r="A199" s="27"/>
      <c r="B199" s="34" t="s">
        <v>63</v>
      </c>
      <c r="C199" s="25" t="s">
        <v>65</v>
      </c>
      <c r="D199" s="36">
        <f>D195</f>
        <v>46</v>
      </c>
      <c r="E199" s="37">
        <f>150/1.18</f>
        <v>127.11864406779662</v>
      </c>
      <c r="F199" s="38">
        <f>E199*D199</f>
        <v>5847.4576271186443</v>
      </c>
      <c r="G199" s="37"/>
      <c r="H199" s="38"/>
      <c r="I199" s="37"/>
      <c r="J199" s="38"/>
      <c r="K199" s="32">
        <f t="shared" ref="K199:K200" si="46">J199+H199+F199</f>
        <v>5847.4576271186443</v>
      </c>
    </row>
    <row r="200" spans="1:13" s="39" customFormat="1" ht="13.8">
      <c r="A200" s="27"/>
      <c r="B200" s="34" t="s">
        <v>26</v>
      </c>
      <c r="C200" s="25" t="s">
        <v>17</v>
      </c>
      <c r="D200" s="36">
        <f>D195*0.0534</f>
        <v>2.4564000000000004</v>
      </c>
      <c r="E200" s="37">
        <v>3.2</v>
      </c>
      <c r="F200" s="38">
        <f>E200*D200</f>
        <v>7.8604800000000017</v>
      </c>
      <c r="G200" s="37"/>
      <c r="H200" s="38"/>
      <c r="I200" s="37"/>
      <c r="J200" s="38"/>
      <c r="K200" s="32">
        <f t="shared" si="46"/>
        <v>7.8604800000000017</v>
      </c>
    </row>
    <row r="201" spans="1:13" s="33" customFormat="1" ht="27.6">
      <c r="A201" s="27">
        <f>A189+1</f>
        <v>19</v>
      </c>
      <c r="B201" s="28" t="s">
        <v>66</v>
      </c>
      <c r="C201" s="23" t="s">
        <v>13</v>
      </c>
      <c r="D201" s="30">
        <v>350</v>
      </c>
      <c r="E201" s="41"/>
      <c r="F201" s="31"/>
      <c r="G201" s="41"/>
      <c r="H201" s="31"/>
      <c r="I201" s="41"/>
      <c r="J201" s="31"/>
      <c r="K201" s="32"/>
    </row>
    <row r="202" spans="1:13" s="39" customFormat="1" ht="13.8">
      <c r="A202" s="27"/>
      <c r="B202" s="34" t="s">
        <v>14</v>
      </c>
      <c r="C202" s="25" t="s">
        <v>15</v>
      </c>
      <c r="D202" s="36">
        <f>D201</f>
        <v>350</v>
      </c>
      <c r="E202" s="37"/>
      <c r="F202" s="38"/>
      <c r="G202" s="37">
        <f>6*1.3</f>
        <v>7.8000000000000007</v>
      </c>
      <c r="H202" s="38">
        <f>G202*D202</f>
        <v>2730.0000000000005</v>
      </c>
      <c r="I202" s="37"/>
      <c r="J202" s="38"/>
      <c r="K202" s="32">
        <f t="shared" ref="K202:K207" si="47">J202+H202+F202</f>
        <v>2730.0000000000005</v>
      </c>
    </row>
    <row r="203" spans="1:13" s="39" customFormat="1" ht="13.8">
      <c r="A203" s="27"/>
      <c r="B203" s="34" t="s">
        <v>16</v>
      </c>
      <c r="C203" s="25" t="s">
        <v>17</v>
      </c>
      <c r="D203" s="36">
        <f>D201*0.03</f>
        <v>10.5</v>
      </c>
      <c r="E203" s="37"/>
      <c r="F203" s="38"/>
      <c r="G203" s="37"/>
      <c r="H203" s="38"/>
      <c r="I203" s="37">
        <v>3.2</v>
      </c>
      <c r="J203" s="38">
        <f>I203*D203</f>
        <v>33.6</v>
      </c>
      <c r="K203" s="32">
        <f t="shared" si="47"/>
        <v>33.6</v>
      </c>
    </row>
    <row r="204" spans="1:13" s="39" customFormat="1" ht="13.8">
      <c r="A204" s="27"/>
      <c r="B204" s="34" t="s">
        <v>18</v>
      </c>
      <c r="C204" s="25"/>
      <c r="D204" s="36"/>
      <c r="E204" s="37"/>
      <c r="F204" s="38"/>
      <c r="G204" s="37"/>
      <c r="H204" s="38"/>
      <c r="I204" s="37"/>
      <c r="J204" s="38"/>
      <c r="K204" s="32"/>
    </row>
    <row r="205" spans="1:13" s="39" customFormat="1" ht="13.8">
      <c r="A205" s="27"/>
      <c r="B205" s="34" t="s">
        <v>67</v>
      </c>
      <c r="C205" s="25" t="s">
        <v>19</v>
      </c>
      <c r="D205" s="36">
        <f>D201*0.7</f>
        <v>244.99999999999997</v>
      </c>
      <c r="E205" s="37">
        <v>9</v>
      </c>
      <c r="F205" s="38">
        <f>E205*D205</f>
        <v>2204.9999999999995</v>
      </c>
      <c r="G205" s="37"/>
      <c r="H205" s="38"/>
      <c r="I205" s="37"/>
      <c r="J205" s="38"/>
      <c r="K205" s="32">
        <f t="shared" si="47"/>
        <v>2204.9999999999995</v>
      </c>
      <c r="M205" s="135"/>
    </row>
    <row r="206" spans="1:13" s="39" customFormat="1" ht="13.8">
      <c r="A206" s="27"/>
      <c r="B206" s="34" t="s">
        <v>68</v>
      </c>
      <c r="C206" s="25" t="s">
        <v>19</v>
      </c>
      <c r="D206" s="36">
        <f>D201*0.4</f>
        <v>140</v>
      </c>
      <c r="E206" s="37">
        <v>5.5</v>
      </c>
      <c r="F206" s="38">
        <f t="shared" ref="F206:F207" si="48">E206*D206</f>
        <v>770</v>
      </c>
      <c r="G206" s="37"/>
      <c r="H206" s="38"/>
      <c r="I206" s="37"/>
      <c r="J206" s="38"/>
      <c r="K206" s="32">
        <f t="shared" si="47"/>
        <v>770</v>
      </c>
    </row>
    <row r="207" spans="1:13" s="39" customFormat="1" ht="13.8">
      <c r="A207" s="27"/>
      <c r="B207" s="34" t="s">
        <v>26</v>
      </c>
      <c r="C207" s="25" t="s">
        <v>17</v>
      </c>
      <c r="D207" s="36">
        <f>D201*0.1</f>
        <v>35</v>
      </c>
      <c r="E207" s="37">
        <v>3.2</v>
      </c>
      <c r="F207" s="38">
        <f t="shared" si="48"/>
        <v>112</v>
      </c>
      <c r="G207" s="37"/>
      <c r="H207" s="38"/>
      <c r="I207" s="37"/>
      <c r="J207" s="38"/>
      <c r="K207" s="32">
        <f t="shared" si="47"/>
        <v>112</v>
      </c>
    </row>
    <row r="208" spans="1:13" s="60" customFormat="1" ht="13.8">
      <c r="A208" s="21">
        <f>A201+1</f>
        <v>20</v>
      </c>
      <c r="B208" s="22" t="s">
        <v>69</v>
      </c>
      <c r="C208" s="21" t="s">
        <v>70</v>
      </c>
      <c r="D208" s="64">
        <f>365.69/0.1*0.15</f>
        <v>548.53499999999997</v>
      </c>
      <c r="E208" s="59"/>
      <c r="F208" s="59"/>
      <c r="G208" s="59"/>
      <c r="H208" s="59"/>
      <c r="I208" s="59"/>
      <c r="J208" s="59"/>
      <c r="K208" s="59"/>
    </row>
    <row r="209" spans="1:11" s="63" customFormat="1" ht="13.8">
      <c r="A209" s="21"/>
      <c r="B209" s="24" t="s">
        <v>14</v>
      </c>
      <c r="C209" s="26" t="s">
        <v>71</v>
      </c>
      <c r="D209" s="61">
        <f>D208</f>
        <v>548.53499999999997</v>
      </c>
      <c r="E209" s="62"/>
      <c r="F209" s="62"/>
      <c r="G209" s="62">
        <v>70.53</v>
      </c>
      <c r="H209" s="62">
        <f>G209*D209</f>
        <v>38688.17355</v>
      </c>
      <c r="I209" s="62"/>
      <c r="J209" s="62"/>
      <c r="K209" s="62">
        <f>J209+H209+F209</f>
        <v>38688.17355</v>
      </c>
    </row>
    <row r="210" spans="1:11" s="63" customFormat="1" ht="13.8">
      <c r="A210" s="21"/>
      <c r="B210" s="24" t="s">
        <v>16</v>
      </c>
      <c r="C210" s="26" t="s">
        <v>17</v>
      </c>
      <c r="D210" s="61">
        <f>D208*0.92</f>
        <v>504.65219999999999</v>
      </c>
      <c r="E210" s="62"/>
      <c r="F210" s="62"/>
      <c r="G210" s="62"/>
      <c r="H210" s="62"/>
      <c r="I210" s="62">
        <v>3.2</v>
      </c>
      <c r="J210" s="62">
        <f>I210*D210</f>
        <v>1614.8870400000001</v>
      </c>
      <c r="K210" s="62">
        <f t="shared" ref="K210:K214" si="49">J210+H210+F210</f>
        <v>1614.8870400000001</v>
      </c>
    </row>
    <row r="211" spans="1:11" s="63" customFormat="1" ht="13.8">
      <c r="A211" s="21"/>
      <c r="B211" s="24" t="s">
        <v>72</v>
      </c>
      <c r="C211" s="26"/>
      <c r="D211" s="61"/>
      <c r="E211" s="62"/>
      <c r="F211" s="62"/>
      <c r="G211" s="62"/>
      <c r="H211" s="62"/>
      <c r="I211" s="62"/>
      <c r="J211" s="62"/>
      <c r="K211" s="62"/>
    </row>
    <row r="212" spans="1:11" s="63" customFormat="1" ht="13.8">
      <c r="A212" s="21"/>
      <c r="B212" s="24" t="s">
        <v>140</v>
      </c>
      <c r="C212" s="26" t="s">
        <v>31</v>
      </c>
      <c r="D212" s="61">
        <f>85*D208</f>
        <v>46625.474999999999</v>
      </c>
      <c r="E212" s="62">
        <f>1.2/1.18</f>
        <v>1.0169491525423728</v>
      </c>
      <c r="F212" s="62">
        <f>E212*D212</f>
        <v>47415.737288135591</v>
      </c>
      <c r="G212" s="62"/>
      <c r="H212" s="62"/>
      <c r="I212" s="62"/>
      <c r="J212" s="62"/>
      <c r="K212" s="62">
        <f t="shared" si="49"/>
        <v>47415.737288135591</v>
      </c>
    </row>
    <row r="213" spans="1:11" s="63" customFormat="1" ht="13.8">
      <c r="A213" s="21"/>
      <c r="B213" s="24" t="s">
        <v>42</v>
      </c>
      <c r="C213" s="26" t="s">
        <v>71</v>
      </c>
      <c r="D213" s="61">
        <f>0.22*D208</f>
        <v>120.67769999999999</v>
      </c>
      <c r="E213" s="37">
        <v>105</v>
      </c>
      <c r="F213" s="62">
        <f t="shared" ref="F213:F214" si="50">E213*D213</f>
        <v>12671.1585</v>
      </c>
      <c r="G213" s="62"/>
      <c r="H213" s="62"/>
      <c r="I213" s="62"/>
      <c r="J213" s="62"/>
      <c r="K213" s="62">
        <f t="shared" si="49"/>
        <v>12671.1585</v>
      </c>
    </row>
    <row r="214" spans="1:11" s="63" customFormat="1" ht="13.8">
      <c r="A214" s="21"/>
      <c r="B214" s="24" t="s">
        <v>26</v>
      </c>
      <c r="C214" s="26" t="s">
        <v>17</v>
      </c>
      <c r="D214" s="61">
        <f>0.16*D208</f>
        <v>87.765599999999992</v>
      </c>
      <c r="E214" s="62">
        <v>3.2</v>
      </c>
      <c r="F214" s="62">
        <f t="shared" si="50"/>
        <v>280.84992</v>
      </c>
      <c r="G214" s="62"/>
      <c r="H214" s="62"/>
      <c r="I214" s="62"/>
      <c r="J214" s="62"/>
      <c r="K214" s="62">
        <f t="shared" si="49"/>
        <v>280.84992</v>
      </c>
    </row>
    <row r="215" spans="1:11" s="63" customFormat="1" ht="27.6">
      <c r="A215" s="21">
        <f>A208+1</f>
        <v>21</v>
      </c>
      <c r="B215" s="22" t="s">
        <v>74</v>
      </c>
      <c r="C215" s="21" t="s">
        <v>70</v>
      </c>
      <c r="D215" s="64">
        <v>27</v>
      </c>
      <c r="E215" s="62"/>
      <c r="F215" s="62"/>
      <c r="G215" s="62"/>
      <c r="H215" s="62"/>
      <c r="I215" s="62"/>
      <c r="J215" s="62"/>
      <c r="K215" s="62"/>
    </row>
    <row r="216" spans="1:11" s="63" customFormat="1" ht="13.8">
      <c r="A216" s="21"/>
      <c r="B216" s="24" t="s">
        <v>14</v>
      </c>
      <c r="C216" s="26" t="s">
        <v>71</v>
      </c>
      <c r="D216" s="61">
        <f>D215</f>
        <v>27</v>
      </c>
      <c r="E216" s="62"/>
      <c r="F216" s="62"/>
      <c r="G216" s="62">
        <v>56.97</v>
      </c>
      <c r="H216" s="62">
        <f>G216*D216</f>
        <v>1538.19</v>
      </c>
      <c r="I216" s="62"/>
      <c r="J216" s="62"/>
      <c r="K216" s="62">
        <f>J216+H216+F216</f>
        <v>1538.19</v>
      </c>
    </row>
    <row r="217" spans="1:11" s="63" customFormat="1" ht="13.8">
      <c r="A217" s="21"/>
      <c r="B217" s="24" t="s">
        <v>16</v>
      </c>
      <c r="C217" s="26" t="s">
        <v>17</v>
      </c>
      <c r="D217" s="61">
        <f>D215*0.92</f>
        <v>24.84</v>
      </c>
      <c r="E217" s="62"/>
      <c r="F217" s="62"/>
      <c r="G217" s="62"/>
      <c r="H217" s="62"/>
      <c r="I217" s="62">
        <v>3.2</v>
      </c>
      <c r="J217" s="62">
        <f>I217*D217</f>
        <v>79.488</v>
      </c>
      <c r="K217" s="62">
        <f t="shared" ref="K217" si="51">J217+H217+F217</f>
        <v>79.488</v>
      </c>
    </row>
    <row r="218" spans="1:11" s="63" customFormat="1" ht="13.8">
      <c r="A218" s="21"/>
      <c r="B218" s="24" t="s">
        <v>72</v>
      </c>
      <c r="C218" s="26"/>
      <c r="D218" s="61"/>
      <c r="E218" s="62"/>
      <c r="F218" s="62"/>
      <c r="G218" s="62"/>
      <c r="H218" s="62"/>
      <c r="I218" s="62"/>
      <c r="J218" s="62"/>
      <c r="K218" s="62"/>
    </row>
    <row r="219" spans="1:11" s="63" customFormat="1" ht="13.8">
      <c r="A219" s="21"/>
      <c r="B219" s="24" t="s">
        <v>73</v>
      </c>
      <c r="C219" s="26" t="s">
        <v>31</v>
      </c>
      <c r="D219" s="61">
        <f>63*D215</f>
        <v>1701</v>
      </c>
      <c r="E219" s="62">
        <f>1.35/1.18</f>
        <v>1.1440677966101696</v>
      </c>
      <c r="F219" s="62">
        <f>E219*D219</f>
        <v>1946.0593220338983</v>
      </c>
      <c r="G219" s="62"/>
      <c r="H219" s="62"/>
      <c r="I219" s="62"/>
      <c r="J219" s="62"/>
      <c r="K219" s="62">
        <f t="shared" ref="K219:K221" si="52">J219+H219+F219</f>
        <v>1946.0593220338983</v>
      </c>
    </row>
    <row r="220" spans="1:11" s="63" customFormat="1" ht="13.8">
      <c r="A220" s="21"/>
      <c r="B220" s="24" t="s">
        <v>42</v>
      </c>
      <c r="C220" s="26" t="s">
        <v>71</v>
      </c>
      <c r="D220" s="61">
        <f>0.22*D215</f>
        <v>5.94</v>
      </c>
      <c r="E220" s="37">
        <v>102</v>
      </c>
      <c r="F220" s="62">
        <f t="shared" ref="F220:F221" si="53">E220*D220</f>
        <v>605.88</v>
      </c>
      <c r="G220" s="62"/>
      <c r="H220" s="62"/>
      <c r="I220" s="62"/>
      <c r="J220" s="62"/>
      <c r="K220" s="62">
        <f t="shared" si="52"/>
        <v>605.88</v>
      </c>
    </row>
    <row r="221" spans="1:11" s="63" customFormat="1" ht="13.8">
      <c r="A221" s="21"/>
      <c r="B221" s="24" t="s">
        <v>26</v>
      </c>
      <c r="C221" s="26" t="s">
        <v>17</v>
      </c>
      <c r="D221" s="61">
        <f>0.16*D215</f>
        <v>4.32</v>
      </c>
      <c r="E221" s="62">
        <v>3.2</v>
      </c>
      <c r="F221" s="62">
        <f t="shared" si="53"/>
        <v>13.824000000000002</v>
      </c>
      <c r="G221" s="62"/>
      <c r="H221" s="62"/>
      <c r="I221" s="62"/>
      <c r="J221" s="62"/>
      <c r="K221" s="62">
        <f t="shared" si="52"/>
        <v>13.824000000000002</v>
      </c>
    </row>
    <row r="222" spans="1:11" s="63" customFormat="1" ht="27.6">
      <c r="A222" s="21">
        <f>A215+1</f>
        <v>22</v>
      </c>
      <c r="B222" s="68" t="s">
        <v>79</v>
      </c>
      <c r="C222" s="21" t="s">
        <v>80</v>
      </c>
      <c r="D222" s="126">
        <v>200</v>
      </c>
      <c r="E222" s="62"/>
      <c r="F222" s="62"/>
      <c r="G222" s="62"/>
      <c r="H222" s="62"/>
      <c r="I222" s="62"/>
      <c r="J222" s="62"/>
      <c r="K222" s="62"/>
    </row>
    <row r="223" spans="1:11" s="63" customFormat="1" ht="13.8">
      <c r="A223" s="21"/>
      <c r="B223" s="34" t="s">
        <v>14</v>
      </c>
      <c r="C223" s="26" t="s">
        <v>80</v>
      </c>
      <c r="D223" s="69">
        <f>D222</f>
        <v>200</v>
      </c>
      <c r="E223" s="62"/>
      <c r="F223" s="62"/>
      <c r="G223" s="62">
        <f>7/0.8/0.96</f>
        <v>9.1145833333333339</v>
      </c>
      <c r="H223" s="62">
        <f>G223*D223</f>
        <v>1822.9166666666667</v>
      </c>
      <c r="I223" s="62"/>
      <c r="J223" s="62"/>
      <c r="K223" s="62">
        <f>J223+H223+F223</f>
        <v>1822.9166666666667</v>
      </c>
    </row>
    <row r="224" spans="1:11" s="63" customFormat="1" ht="13.8">
      <c r="A224" s="21"/>
      <c r="B224" s="34" t="s">
        <v>152</v>
      </c>
      <c r="C224" s="26" t="s">
        <v>80</v>
      </c>
      <c r="D224" s="70">
        <f>1.05*D222</f>
        <v>210</v>
      </c>
      <c r="E224" s="62">
        <f>17/1.18</f>
        <v>14.40677966101695</v>
      </c>
      <c r="F224" s="62">
        <f>E224*D224</f>
        <v>3025.4237288135596</v>
      </c>
      <c r="G224" s="62"/>
      <c r="H224" s="62"/>
      <c r="I224" s="62"/>
      <c r="J224" s="62"/>
      <c r="K224" s="62">
        <f t="shared" ref="K224:K233" si="54">J224+H224+F224</f>
        <v>3025.4237288135596</v>
      </c>
    </row>
    <row r="225" spans="1:11" s="63" customFormat="1" ht="13.8">
      <c r="A225" s="21"/>
      <c r="B225" s="34" t="s">
        <v>81</v>
      </c>
      <c r="C225" s="71" t="s">
        <v>82</v>
      </c>
      <c r="D225" s="70">
        <f>2.9*D222</f>
        <v>580</v>
      </c>
      <c r="E225" s="62">
        <v>2.2599999999999998</v>
      </c>
      <c r="F225" s="62">
        <f t="shared" ref="F225:F233" si="55">E225*D225</f>
        <v>1310.8</v>
      </c>
      <c r="G225" s="62"/>
      <c r="H225" s="62"/>
      <c r="I225" s="62"/>
      <c r="J225" s="62"/>
      <c r="K225" s="62">
        <f t="shared" si="54"/>
        <v>1310.8</v>
      </c>
    </row>
    <row r="226" spans="1:11" s="63" customFormat="1" ht="13.8">
      <c r="A226" s="21"/>
      <c r="B226" s="72" t="s">
        <v>83</v>
      </c>
      <c r="C226" s="71" t="s">
        <v>82</v>
      </c>
      <c r="D226" s="36">
        <f>D222*0.8</f>
        <v>160</v>
      </c>
      <c r="E226" s="62">
        <v>1.98</v>
      </c>
      <c r="F226" s="62">
        <f t="shared" si="55"/>
        <v>316.8</v>
      </c>
      <c r="G226" s="62"/>
      <c r="H226" s="62"/>
      <c r="I226" s="62"/>
      <c r="J226" s="62"/>
      <c r="K226" s="62">
        <f t="shared" si="54"/>
        <v>316.8</v>
      </c>
    </row>
    <row r="227" spans="1:11" s="63" customFormat="1" ht="13.8">
      <c r="A227" s="21"/>
      <c r="B227" s="34" t="s">
        <v>84</v>
      </c>
      <c r="C227" s="73" t="s">
        <v>31</v>
      </c>
      <c r="D227" s="70">
        <f>0.2*D222</f>
        <v>40</v>
      </c>
      <c r="E227" s="62">
        <v>0.53</v>
      </c>
      <c r="F227" s="62">
        <f t="shared" si="55"/>
        <v>21.200000000000003</v>
      </c>
      <c r="G227" s="62"/>
      <c r="H227" s="62"/>
      <c r="I227" s="62"/>
      <c r="J227" s="62"/>
      <c r="K227" s="62">
        <f t="shared" si="54"/>
        <v>21.200000000000003</v>
      </c>
    </row>
    <row r="228" spans="1:11" s="63" customFormat="1" ht="13.8">
      <c r="A228" s="21"/>
      <c r="B228" s="34" t="s">
        <v>85</v>
      </c>
      <c r="C228" s="73" t="s">
        <v>31</v>
      </c>
      <c r="D228" s="70">
        <f>1.7*D222</f>
        <v>340</v>
      </c>
      <c r="E228" s="62">
        <v>0.31</v>
      </c>
      <c r="F228" s="62">
        <f t="shared" si="55"/>
        <v>105.4</v>
      </c>
      <c r="G228" s="62"/>
      <c r="H228" s="62"/>
      <c r="I228" s="62"/>
      <c r="J228" s="62"/>
      <c r="K228" s="62">
        <f t="shared" si="54"/>
        <v>105.4</v>
      </c>
    </row>
    <row r="229" spans="1:11" s="63" customFormat="1" ht="13.8">
      <c r="A229" s="21"/>
      <c r="B229" s="34" t="s">
        <v>86</v>
      </c>
      <c r="C229" s="73" t="s">
        <v>31</v>
      </c>
      <c r="D229" s="70">
        <f>0.7*D222</f>
        <v>140</v>
      </c>
      <c r="E229" s="62">
        <v>0.41</v>
      </c>
      <c r="F229" s="62">
        <f t="shared" si="55"/>
        <v>57.4</v>
      </c>
      <c r="G229" s="62"/>
      <c r="H229" s="62"/>
      <c r="I229" s="62"/>
      <c r="J229" s="62"/>
      <c r="K229" s="62">
        <f t="shared" si="54"/>
        <v>57.4</v>
      </c>
    </row>
    <row r="230" spans="1:11" s="63" customFormat="1" ht="13.8">
      <c r="A230" s="21"/>
      <c r="B230" s="34" t="s">
        <v>87</v>
      </c>
      <c r="C230" s="73" t="s">
        <v>31</v>
      </c>
      <c r="D230" s="70">
        <f>0.7*D222</f>
        <v>140</v>
      </c>
      <c r="E230" s="62">
        <v>0.47</v>
      </c>
      <c r="F230" s="62">
        <f t="shared" si="55"/>
        <v>65.8</v>
      </c>
      <c r="G230" s="62"/>
      <c r="H230" s="62"/>
      <c r="I230" s="62"/>
      <c r="J230" s="62"/>
      <c r="K230" s="62">
        <f t="shared" si="54"/>
        <v>65.8</v>
      </c>
    </row>
    <row r="231" spans="1:11" s="63" customFormat="1" ht="13.8">
      <c r="A231" s="21"/>
      <c r="B231" s="34" t="s">
        <v>88</v>
      </c>
      <c r="C231" s="73" t="s">
        <v>31</v>
      </c>
      <c r="D231" s="70">
        <f>1.4*D222</f>
        <v>280</v>
      </c>
      <c r="E231" s="62">
        <v>0.05</v>
      </c>
      <c r="F231" s="62">
        <f t="shared" si="55"/>
        <v>14</v>
      </c>
      <c r="G231" s="62"/>
      <c r="H231" s="62"/>
      <c r="I231" s="62"/>
      <c r="J231" s="62"/>
      <c r="K231" s="62">
        <f t="shared" si="54"/>
        <v>14</v>
      </c>
    </row>
    <row r="232" spans="1:11" s="63" customFormat="1" ht="13.8">
      <c r="A232" s="21"/>
      <c r="B232" s="34" t="s">
        <v>89</v>
      </c>
      <c r="C232" s="73" t="s">
        <v>31</v>
      </c>
      <c r="D232" s="70">
        <f>23*D222</f>
        <v>4600</v>
      </c>
      <c r="E232" s="62">
        <v>0.05</v>
      </c>
      <c r="F232" s="62">
        <f t="shared" si="55"/>
        <v>230</v>
      </c>
      <c r="G232" s="62"/>
      <c r="H232" s="62"/>
      <c r="I232" s="62"/>
      <c r="J232" s="62"/>
      <c r="K232" s="62">
        <f t="shared" si="54"/>
        <v>230</v>
      </c>
    </row>
    <row r="233" spans="1:11" s="63" customFormat="1" ht="13.8">
      <c r="A233" s="21"/>
      <c r="B233" s="72" t="s">
        <v>90</v>
      </c>
      <c r="C233" s="73" t="s">
        <v>31</v>
      </c>
      <c r="D233" s="36">
        <f>D222*1.3</f>
        <v>260</v>
      </c>
      <c r="E233" s="62">
        <v>0.25</v>
      </c>
      <c r="F233" s="62">
        <f t="shared" si="55"/>
        <v>65</v>
      </c>
      <c r="G233" s="62"/>
      <c r="H233" s="62"/>
      <c r="I233" s="62"/>
      <c r="J233" s="62"/>
      <c r="K233" s="62">
        <f t="shared" si="54"/>
        <v>65</v>
      </c>
    </row>
    <row r="234" spans="1:11" s="60" customFormat="1" ht="27.6">
      <c r="A234" s="21">
        <f>A222+1</f>
        <v>23</v>
      </c>
      <c r="B234" s="74" t="s">
        <v>122</v>
      </c>
      <c r="C234" s="21" t="s">
        <v>75</v>
      </c>
      <c r="D234" s="64">
        <v>932.58</v>
      </c>
      <c r="E234" s="65"/>
      <c r="F234" s="65"/>
      <c r="G234" s="65"/>
      <c r="H234" s="65"/>
      <c r="I234" s="65"/>
      <c r="J234" s="65"/>
      <c r="K234" s="65"/>
    </row>
    <row r="235" spans="1:11" s="63" customFormat="1" ht="13.8">
      <c r="A235" s="21"/>
      <c r="B235" s="24" t="s">
        <v>14</v>
      </c>
      <c r="C235" s="26" t="str">
        <f>C234</f>
        <v>მ²</v>
      </c>
      <c r="D235" s="61">
        <f>D234</f>
        <v>932.58</v>
      </c>
      <c r="E235" s="62"/>
      <c r="F235" s="62"/>
      <c r="G235" s="62">
        <f>G109</f>
        <v>32.552083333333336</v>
      </c>
      <c r="H235" s="62">
        <f>G235*D235</f>
        <v>30357.421875000004</v>
      </c>
      <c r="I235" s="62"/>
      <c r="J235" s="62"/>
      <c r="K235" s="62">
        <f>J235+H235+F235</f>
        <v>30357.421875000004</v>
      </c>
    </row>
    <row r="236" spans="1:11" s="63" customFormat="1" ht="13.8">
      <c r="A236" s="21"/>
      <c r="B236" s="24" t="s">
        <v>16</v>
      </c>
      <c r="C236" s="26" t="s">
        <v>17</v>
      </c>
      <c r="D236" s="61">
        <f>D234*0.032</f>
        <v>29.842560000000002</v>
      </c>
      <c r="E236" s="62"/>
      <c r="F236" s="62"/>
      <c r="G236" s="62"/>
      <c r="H236" s="62"/>
      <c r="I236" s="62">
        <v>3.2</v>
      </c>
      <c r="J236" s="62">
        <f>I236*D236</f>
        <v>95.496192000000008</v>
      </c>
      <c r="K236" s="62">
        <f t="shared" ref="K236:K252" si="56">J236+H236+F236</f>
        <v>95.496192000000008</v>
      </c>
    </row>
    <row r="237" spans="1:11" s="63" customFormat="1" ht="13.8">
      <c r="A237" s="21"/>
      <c r="B237" s="24" t="s">
        <v>72</v>
      </c>
      <c r="C237" s="26"/>
      <c r="D237" s="61"/>
      <c r="E237" s="62"/>
      <c r="F237" s="62"/>
      <c r="G237" s="62"/>
      <c r="H237" s="62"/>
      <c r="I237" s="62"/>
      <c r="J237" s="62"/>
      <c r="K237" s="62"/>
    </row>
    <row r="238" spans="1:11" s="63" customFormat="1" ht="13.8">
      <c r="A238" s="21"/>
      <c r="B238" s="24" t="s">
        <v>40</v>
      </c>
      <c r="C238" s="26" t="str">
        <f>C235</f>
        <v>მ²</v>
      </c>
      <c r="D238" s="61">
        <f>D234*1.05</f>
        <v>979.20900000000006</v>
      </c>
      <c r="E238" s="62">
        <f>E119</f>
        <v>26.016949152542374</v>
      </c>
      <c r="F238" s="62">
        <f>E238*D238</f>
        <v>25476.030762711867</v>
      </c>
      <c r="G238" s="62"/>
      <c r="H238" s="62"/>
      <c r="I238" s="62"/>
      <c r="J238" s="62"/>
      <c r="K238" s="62">
        <f t="shared" si="56"/>
        <v>25476.030762711867</v>
      </c>
    </row>
    <row r="239" spans="1:11" s="63" customFormat="1" ht="13.8">
      <c r="A239" s="21"/>
      <c r="B239" s="24" t="s">
        <v>91</v>
      </c>
      <c r="C239" s="26" t="s">
        <v>19</v>
      </c>
      <c r="D239" s="61">
        <f>D234*8</f>
        <v>7460.64</v>
      </c>
      <c r="E239" s="62">
        <f>E113</f>
        <v>0.61016949152542377</v>
      </c>
      <c r="F239" s="62">
        <f t="shared" ref="F239:F240" si="57">E239*D239</f>
        <v>4552.2549152542379</v>
      </c>
      <c r="G239" s="62"/>
      <c r="H239" s="62"/>
      <c r="I239" s="62"/>
      <c r="J239" s="62"/>
      <c r="K239" s="62">
        <f t="shared" si="56"/>
        <v>4552.2549152542379</v>
      </c>
    </row>
    <row r="240" spans="1:11" s="63" customFormat="1" ht="13.8">
      <c r="A240" s="21"/>
      <c r="B240" s="24" t="s">
        <v>26</v>
      </c>
      <c r="C240" s="26" t="s">
        <v>17</v>
      </c>
      <c r="D240" s="61">
        <f>D234*0.8</f>
        <v>746.06400000000008</v>
      </c>
      <c r="E240" s="62">
        <v>3.2</v>
      </c>
      <c r="F240" s="62">
        <f t="shared" si="57"/>
        <v>2387.4048000000003</v>
      </c>
      <c r="G240" s="62"/>
      <c r="H240" s="62"/>
      <c r="I240" s="62"/>
      <c r="J240" s="62"/>
      <c r="K240" s="62">
        <f t="shared" si="56"/>
        <v>2387.4048000000003</v>
      </c>
    </row>
    <row r="241" spans="1:11" s="33" customFormat="1" ht="13.8">
      <c r="A241" s="27">
        <f>A234+1</f>
        <v>24</v>
      </c>
      <c r="B241" s="28" t="s">
        <v>141</v>
      </c>
      <c r="C241" s="23" t="s">
        <v>13</v>
      </c>
      <c r="D241" s="30">
        <v>3593</v>
      </c>
      <c r="E241" s="41"/>
      <c r="F241" s="31"/>
      <c r="G241" s="41"/>
      <c r="H241" s="31"/>
      <c r="I241" s="41"/>
      <c r="J241" s="31"/>
      <c r="K241" s="32">
        <f t="shared" si="56"/>
        <v>0</v>
      </c>
    </row>
    <row r="242" spans="1:11" s="39" customFormat="1" ht="13.8">
      <c r="A242" s="27"/>
      <c r="B242" s="34" t="s">
        <v>14</v>
      </c>
      <c r="C242" s="25" t="s">
        <v>15</v>
      </c>
      <c r="D242" s="36">
        <f>D241</f>
        <v>3593</v>
      </c>
      <c r="E242" s="37"/>
      <c r="F242" s="38"/>
      <c r="G242" s="37">
        <f>10/0.8/0.96</f>
        <v>13.020833333333334</v>
      </c>
      <c r="H242" s="38">
        <f>G242*D242</f>
        <v>46783.854166666672</v>
      </c>
      <c r="I242" s="37"/>
      <c r="J242" s="38"/>
      <c r="K242" s="32">
        <f t="shared" si="56"/>
        <v>46783.854166666672</v>
      </c>
    </row>
    <row r="243" spans="1:11" s="39" customFormat="1" ht="13.8">
      <c r="A243" s="27"/>
      <c r="B243" s="34" t="s">
        <v>16</v>
      </c>
      <c r="C243" s="25" t="s">
        <v>17</v>
      </c>
      <c r="D243" s="36">
        <f>D241*0.15</f>
        <v>538.94999999999993</v>
      </c>
      <c r="E243" s="37"/>
      <c r="F243" s="38"/>
      <c r="G243" s="37"/>
      <c r="I243" s="37">
        <v>3.2</v>
      </c>
      <c r="J243" s="38">
        <f>I243*D243</f>
        <v>1724.6399999999999</v>
      </c>
      <c r="K243" s="32">
        <f t="shared" si="56"/>
        <v>1724.6399999999999</v>
      </c>
    </row>
    <row r="244" spans="1:11" s="39" customFormat="1" ht="13.8">
      <c r="A244" s="27"/>
      <c r="B244" s="34" t="s">
        <v>18</v>
      </c>
      <c r="C244" s="25"/>
      <c r="D244" s="36"/>
      <c r="E244" s="37"/>
      <c r="F244" s="38"/>
      <c r="G244" s="37"/>
      <c r="H244" s="38"/>
      <c r="I244" s="37"/>
      <c r="J244" s="38"/>
      <c r="K244" s="32">
        <f t="shared" si="56"/>
        <v>0</v>
      </c>
    </row>
    <row r="245" spans="1:11" s="39" customFormat="1" ht="13.8">
      <c r="A245" s="27"/>
      <c r="B245" s="34" t="s">
        <v>38</v>
      </c>
      <c r="C245" s="35" t="s">
        <v>21</v>
      </c>
      <c r="D245" s="36">
        <f>D241*0.06</f>
        <v>215.57999999999998</v>
      </c>
      <c r="E245" s="37">
        <v>105</v>
      </c>
      <c r="F245" s="38">
        <f>E245*D245</f>
        <v>22635.899999999998</v>
      </c>
      <c r="G245" s="37"/>
      <c r="H245" s="38"/>
      <c r="I245" s="37"/>
      <c r="J245" s="38"/>
      <c r="K245" s="32">
        <f t="shared" si="56"/>
        <v>22635.899999999998</v>
      </c>
    </row>
    <row r="246" spans="1:11" s="39" customFormat="1" ht="13.8">
      <c r="A246" s="27"/>
      <c r="B246" s="34" t="s">
        <v>26</v>
      </c>
      <c r="C246" s="25" t="s">
        <v>17</v>
      </c>
      <c r="D246" s="36">
        <f>D241*0.2</f>
        <v>718.6</v>
      </c>
      <c r="E246" s="37">
        <v>3.2</v>
      </c>
      <c r="F246" s="38">
        <f t="shared" ref="F246" si="58">E246*D246</f>
        <v>2299.52</v>
      </c>
      <c r="G246" s="37"/>
      <c r="H246" s="38"/>
      <c r="I246" s="37"/>
      <c r="J246" s="38"/>
      <c r="K246" s="32">
        <f t="shared" si="56"/>
        <v>2299.52</v>
      </c>
    </row>
    <row r="247" spans="1:11" s="33" customFormat="1" ht="13.8">
      <c r="A247" s="27">
        <f>A234+1</f>
        <v>24</v>
      </c>
      <c r="B247" s="28" t="s">
        <v>153</v>
      </c>
      <c r="C247" s="23" t="s">
        <v>13</v>
      </c>
      <c r="D247" s="30">
        <v>6309</v>
      </c>
      <c r="E247" s="41"/>
      <c r="F247" s="31"/>
      <c r="G247" s="41"/>
      <c r="H247" s="31"/>
      <c r="I247" s="41"/>
      <c r="J247" s="31"/>
      <c r="K247" s="32">
        <f t="shared" si="56"/>
        <v>0</v>
      </c>
    </row>
    <row r="248" spans="1:11" s="39" customFormat="1" ht="13.8">
      <c r="A248" s="27"/>
      <c r="B248" s="34" t="s">
        <v>14</v>
      </c>
      <c r="C248" s="25" t="s">
        <v>15</v>
      </c>
      <c r="D248" s="36">
        <f>D247</f>
        <v>6309</v>
      </c>
      <c r="E248" s="37"/>
      <c r="F248" s="38"/>
      <c r="G248" s="37">
        <f>10/0.8/0.96</f>
        <v>13.020833333333334</v>
      </c>
      <c r="H248" s="38">
        <f>G248*D248</f>
        <v>82148.4375</v>
      </c>
      <c r="I248" s="37"/>
      <c r="J248" s="38"/>
      <c r="K248" s="32">
        <f t="shared" si="56"/>
        <v>82148.4375</v>
      </c>
    </row>
    <row r="249" spans="1:11" s="39" customFormat="1" ht="13.8">
      <c r="A249" s="27"/>
      <c r="B249" s="34" t="s">
        <v>16</v>
      </c>
      <c r="C249" s="25" t="s">
        <v>17</v>
      </c>
      <c r="D249" s="36">
        <f>D247*0.15</f>
        <v>946.34999999999991</v>
      </c>
      <c r="E249" s="37"/>
      <c r="F249" s="38"/>
      <c r="G249" s="37"/>
      <c r="I249" s="37">
        <v>3.2</v>
      </c>
      <c r="J249" s="38">
        <f>I249*D249</f>
        <v>3028.3199999999997</v>
      </c>
      <c r="K249" s="32">
        <f t="shared" si="56"/>
        <v>3028.3199999999997</v>
      </c>
    </row>
    <row r="250" spans="1:11" s="39" customFormat="1" ht="13.8">
      <c r="A250" s="27"/>
      <c r="B250" s="34" t="s">
        <v>18</v>
      </c>
      <c r="C250" s="25"/>
      <c r="D250" s="36"/>
      <c r="E250" s="37"/>
      <c r="F250" s="38"/>
      <c r="G250" s="37"/>
      <c r="H250" s="38"/>
      <c r="I250" s="37"/>
      <c r="J250" s="38"/>
      <c r="K250" s="32">
        <f t="shared" si="56"/>
        <v>0</v>
      </c>
    </row>
    <row r="251" spans="1:11" s="39" customFormat="1" ht="13.8">
      <c r="A251" s="27"/>
      <c r="B251" s="34" t="s">
        <v>154</v>
      </c>
      <c r="C251" s="35" t="s">
        <v>24</v>
      </c>
      <c r="D251" s="36">
        <f>D247*0.05</f>
        <v>315.45000000000005</v>
      </c>
      <c r="E251" s="37">
        <f>85/1.18</f>
        <v>72.033898305084747</v>
      </c>
      <c r="F251" s="38">
        <f>E251*D251</f>
        <v>22723.093220338986</v>
      </c>
      <c r="G251" s="37"/>
      <c r="H251" s="38"/>
      <c r="I251" s="37"/>
      <c r="J251" s="38"/>
      <c r="K251" s="32">
        <f t="shared" si="56"/>
        <v>22723.093220338986</v>
      </c>
    </row>
    <row r="252" spans="1:11" s="39" customFormat="1" ht="13.8">
      <c r="A252" s="27"/>
      <c r="B252" s="34" t="s">
        <v>26</v>
      </c>
      <c r="C252" s="25" t="s">
        <v>17</v>
      </c>
      <c r="D252" s="36">
        <f>D247*0.1</f>
        <v>630.90000000000009</v>
      </c>
      <c r="E252" s="37">
        <v>3.2</v>
      </c>
      <c r="F252" s="38">
        <f t="shared" ref="F252" si="59">E252*D252</f>
        <v>2018.8800000000003</v>
      </c>
      <c r="G252" s="37"/>
      <c r="H252" s="38"/>
      <c r="I252" s="37"/>
      <c r="J252" s="38"/>
      <c r="K252" s="32">
        <f t="shared" si="56"/>
        <v>2018.8800000000003</v>
      </c>
    </row>
    <row r="253" spans="1:11" s="60" customFormat="1" ht="13.8">
      <c r="A253" s="21">
        <f>A234+1</f>
        <v>24</v>
      </c>
      <c r="B253" s="68" t="s">
        <v>92</v>
      </c>
      <c r="C253" s="21" t="s">
        <v>75</v>
      </c>
      <c r="D253" s="64">
        <f>D247+D241-1001</f>
        <v>8901</v>
      </c>
      <c r="E253" s="65"/>
      <c r="F253" s="65"/>
      <c r="G253" s="65"/>
      <c r="H253" s="65"/>
      <c r="I253" s="65"/>
      <c r="J253" s="65"/>
      <c r="K253" s="65"/>
    </row>
    <row r="254" spans="1:11" s="63" customFormat="1" ht="13.8">
      <c r="A254" s="21"/>
      <c r="B254" s="75" t="s">
        <v>14</v>
      </c>
      <c r="C254" s="26" t="str">
        <f>C253</f>
        <v>მ²</v>
      </c>
      <c r="D254" s="61">
        <f>D253</f>
        <v>8901</v>
      </c>
      <c r="E254" s="62"/>
      <c r="F254" s="62"/>
      <c r="G254" s="62">
        <f>5/0.8/0.96</f>
        <v>6.510416666666667</v>
      </c>
      <c r="H254" s="62">
        <f>G254*D254</f>
        <v>57949.21875</v>
      </c>
      <c r="I254" s="62"/>
      <c r="J254" s="62"/>
      <c r="K254" s="62">
        <f>J254+H254+F254</f>
        <v>57949.21875</v>
      </c>
    </row>
    <row r="255" spans="1:11" s="63" customFormat="1" ht="13.8">
      <c r="A255" s="21"/>
      <c r="B255" s="75" t="s">
        <v>16</v>
      </c>
      <c r="C255" s="26" t="s">
        <v>17</v>
      </c>
      <c r="D255" s="61">
        <f>D253*0.0058</f>
        <v>51.625799999999998</v>
      </c>
      <c r="E255" s="62"/>
      <c r="F255" s="62"/>
      <c r="G255" s="62"/>
      <c r="H255" s="62"/>
      <c r="I255" s="62">
        <v>3.2</v>
      </c>
      <c r="J255" s="62">
        <f>I255*D255</f>
        <v>165.20256000000001</v>
      </c>
      <c r="K255" s="62">
        <f t="shared" ref="K255:K258" si="60">J255+H255+F255</f>
        <v>165.20256000000001</v>
      </c>
    </row>
    <row r="256" spans="1:11" s="63" customFormat="1" ht="13.8">
      <c r="A256" s="21"/>
      <c r="B256" s="75" t="s">
        <v>72</v>
      </c>
      <c r="C256" s="26"/>
      <c r="D256" s="61"/>
      <c r="E256" s="62"/>
      <c r="F256" s="62"/>
      <c r="G256" s="62"/>
      <c r="H256" s="62"/>
      <c r="I256" s="62"/>
      <c r="J256" s="62"/>
      <c r="K256" s="62"/>
    </row>
    <row r="257" spans="1:11" s="63" customFormat="1" ht="13.8">
      <c r="A257" s="21"/>
      <c r="B257" s="75" t="s">
        <v>93</v>
      </c>
      <c r="C257" s="26" t="s">
        <v>19</v>
      </c>
      <c r="D257" s="61">
        <f>D253*1.2</f>
        <v>10681.199999999999</v>
      </c>
      <c r="E257" s="62">
        <f>18/25/1.18</f>
        <v>0.61016949152542377</v>
      </c>
      <c r="F257" s="62">
        <f>E257*D257</f>
        <v>6517.3423728813559</v>
      </c>
      <c r="G257" s="62"/>
      <c r="H257" s="62"/>
      <c r="I257" s="62"/>
      <c r="J257" s="62"/>
      <c r="K257" s="62">
        <f t="shared" si="60"/>
        <v>6517.3423728813559</v>
      </c>
    </row>
    <row r="258" spans="1:11" s="63" customFormat="1" ht="13.8">
      <c r="A258" s="21"/>
      <c r="B258" s="75" t="s">
        <v>26</v>
      </c>
      <c r="C258" s="26" t="s">
        <v>17</v>
      </c>
      <c r="D258" s="61">
        <f>D253*0.05</f>
        <v>445.05</v>
      </c>
      <c r="E258" s="62">
        <v>3.2</v>
      </c>
      <c r="F258" s="62">
        <f>E258*D258</f>
        <v>1424.16</v>
      </c>
      <c r="G258" s="62"/>
      <c r="H258" s="62"/>
      <c r="I258" s="62"/>
      <c r="J258" s="62"/>
      <c r="K258" s="62">
        <f t="shared" si="60"/>
        <v>1424.16</v>
      </c>
    </row>
    <row r="259" spans="1:11" s="60" customFormat="1" ht="13.8">
      <c r="A259" s="21">
        <f>A253+1</f>
        <v>25</v>
      </c>
      <c r="B259" s="22" t="s">
        <v>94</v>
      </c>
      <c r="C259" s="21" t="s">
        <v>75</v>
      </c>
      <c r="D259" s="64">
        <f>D253</f>
        <v>8901</v>
      </c>
      <c r="E259" s="65"/>
      <c r="F259" s="65"/>
      <c r="G259" s="65"/>
      <c r="H259" s="65"/>
      <c r="I259" s="65"/>
      <c r="J259" s="65"/>
      <c r="K259" s="65"/>
    </row>
    <row r="260" spans="1:11" s="63" customFormat="1" ht="13.8">
      <c r="A260" s="21"/>
      <c r="B260" s="76" t="s">
        <v>14</v>
      </c>
      <c r="C260" s="21" t="s">
        <v>75</v>
      </c>
      <c r="D260" s="77">
        <f>D259</f>
        <v>8901</v>
      </c>
      <c r="E260" s="62"/>
      <c r="F260" s="62"/>
      <c r="G260" s="62">
        <f>G254</f>
        <v>6.510416666666667</v>
      </c>
      <c r="H260" s="62">
        <f>G260*D260</f>
        <v>57949.21875</v>
      </c>
      <c r="I260" s="62"/>
      <c r="J260" s="62"/>
      <c r="K260" s="62">
        <f>J260+H260+F260</f>
        <v>57949.21875</v>
      </c>
    </row>
    <row r="261" spans="1:11" s="63" customFormat="1" ht="13.8">
      <c r="A261" s="21"/>
      <c r="B261" s="76" t="s">
        <v>16</v>
      </c>
      <c r="C261" s="78" t="s">
        <v>17</v>
      </c>
      <c r="D261" s="78">
        <f>D259*0.07</f>
        <v>623.07000000000005</v>
      </c>
      <c r="E261" s="62"/>
      <c r="F261" s="62"/>
      <c r="G261" s="62"/>
      <c r="H261" s="62"/>
      <c r="I261" s="62">
        <v>3.2</v>
      </c>
      <c r="J261" s="62">
        <f>I261*D261</f>
        <v>1993.8240000000003</v>
      </c>
      <c r="K261" s="62">
        <f t="shared" ref="K261:K264" si="61">J261+H261+F261</f>
        <v>1993.8240000000003</v>
      </c>
    </row>
    <row r="262" spans="1:11" s="63" customFormat="1" ht="13.8">
      <c r="A262" s="21"/>
      <c r="B262" s="76" t="s">
        <v>72</v>
      </c>
      <c r="C262" s="78"/>
      <c r="D262" s="78"/>
      <c r="E262" s="62"/>
      <c r="F262" s="62"/>
      <c r="G262" s="62"/>
      <c r="H262" s="62"/>
      <c r="I262" s="62"/>
      <c r="J262" s="62"/>
      <c r="K262" s="62"/>
    </row>
    <row r="263" spans="1:11" s="63" customFormat="1" ht="13.8">
      <c r="A263" s="21"/>
      <c r="B263" s="76" t="s">
        <v>95</v>
      </c>
      <c r="C263" s="78" t="s">
        <v>19</v>
      </c>
      <c r="D263" s="73">
        <f>D259*0.75</f>
        <v>6675.75</v>
      </c>
      <c r="E263" s="62">
        <f>90/20/1.18</f>
        <v>3.8135593220338984</v>
      </c>
      <c r="F263" s="62">
        <f>E263*D263</f>
        <v>25458.368644067796</v>
      </c>
      <c r="G263" s="62"/>
      <c r="H263" s="62"/>
      <c r="I263" s="62"/>
      <c r="J263" s="62"/>
      <c r="K263" s="62">
        <f t="shared" si="61"/>
        <v>25458.368644067796</v>
      </c>
    </row>
    <row r="264" spans="1:11" s="63" customFormat="1" ht="13.8">
      <c r="A264" s="21"/>
      <c r="B264" s="76" t="s">
        <v>26</v>
      </c>
      <c r="C264" s="78" t="s">
        <v>17</v>
      </c>
      <c r="D264" s="127">
        <f>D259*0.08</f>
        <v>712.08</v>
      </c>
      <c r="E264" s="62">
        <v>3.2</v>
      </c>
      <c r="F264" s="62">
        <f>E264*D264</f>
        <v>2278.6560000000004</v>
      </c>
      <c r="G264" s="62"/>
      <c r="H264" s="62"/>
      <c r="I264" s="62"/>
      <c r="J264" s="62"/>
      <c r="K264" s="62">
        <f t="shared" si="61"/>
        <v>2278.6560000000004</v>
      </c>
    </row>
    <row r="265" spans="1:11" s="60" customFormat="1" ht="13.8">
      <c r="A265" s="21">
        <f>A259+1</f>
        <v>26</v>
      </c>
      <c r="B265" s="22" t="s">
        <v>123</v>
      </c>
      <c r="C265" s="21" t="s">
        <v>31</v>
      </c>
      <c r="D265" s="64">
        <v>123</v>
      </c>
      <c r="E265" s="65"/>
      <c r="F265" s="65"/>
      <c r="G265" s="65"/>
      <c r="H265" s="65"/>
      <c r="I265" s="65"/>
      <c r="J265" s="65"/>
      <c r="K265" s="65"/>
    </row>
    <row r="266" spans="1:11" s="63" customFormat="1" ht="13.8">
      <c r="A266" s="21"/>
      <c r="B266" s="24" t="s">
        <v>14</v>
      </c>
      <c r="C266" s="26" t="s">
        <v>31</v>
      </c>
      <c r="D266" s="61">
        <f>D265</f>
        <v>123</v>
      </c>
      <c r="E266" s="62"/>
      <c r="F266" s="62"/>
      <c r="G266" s="62">
        <f>60/0.8/0.96</f>
        <v>78.125</v>
      </c>
      <c r="H266" s="62">
        <f>G266*D266</f>
        <v>9609.375</v>
      </c>
      <c r="I266" s="62"/>
      <c r="J266" s="62"/>
      <c r="K266" s="62">
        <f>J266+H266+F266</f>
        <v>9609.375</v>
      </c>
    </row>
    <row r="267" spans="1:11" s="63" customFormat="1" ht="13.8">
      <c r="A267" s="21"/>
      <c r="B267" s="24" t="s">
        <v>72</v>
      </c>
      <c r="C267" s="26"/>
      <c r="D267" s="61"/>
      <c r="E267" s="62"/>
      <c r="F267" s="62"/>
      <c r="G267" s="62"/>
      <c r="H267" s="62"/>
      <c r="I267" s="62"/>
      <c r="J267" s="62"/>
      <c r="K267" s="62"/>
    </row>
    <row r="268" spans="1:11" s="63" customFormat="1" ht="13.8">
      <c r="A268" s="21"/>
      <c r="B268" s="24" t="s">
        <v>126</v>
      </c>
      <c r="C268" s="26" t="s">
        <v>31</v>
      </c>
      <c r="D268" s="61">
        <f>D266</f>
        <v>123</v>
      </c>
      <c r="E268" s="62">
        <f>700/1.18</f>
        <v>593.22033898305085</v>
      </c>
      <c r="F268" s="62">
        <f>E268*D268</f>
        <v>72966.101694915254</v>
      </c>
      <c r="G268" s="62"/>
      <c r="H268" s="62"/>
      <c r="I268" s="62"/>
      <c r="J268" s="62"/>
      <c r="K268" s="62">
        <f t="shared" ref="K268" si="62">J268+H268+F268</f>
        <v>72966.101694915254</v>
      </c>
    </row>
    <row r="269" spans="1:11" s="60" customFormat="1" ht="13.8">
      <c r="A269" s="21">
        <f>A265+1</f>
        <v>27</v>
      </c>
      <c r="B269" s="22" t="s">
        <v>124</v>
      </c>
      <c r="C269" s="21" t="s">
        <v>31</v>
      </c>
      <c r="D269" s="64">
        <v>4</v>
      </c>
      <c r="E269" s="65"/>
      <c r="F269" s="65"/>
      <c r="G269" s="65"/>
      <c r="H269" s="65"/>
      <c r="I269" s="65"/>
      <c r="J269" s="65"/>
      <c r="K269" s="65"/>
    </row>
    <row r="270" spans="1:11" s="63" customFormat="1" ht="13.8">
      <c r="A270" s="21"/>
      <c r="B270" s="24" t="s">
        <v>14</v>
      </c>
      <c r="C270" s="26" t="s">
        <v>31</v>
      </c>
      <c r="D270" s="61">
        <f>D269</f>
        <v>4</v>
      </c>
      <c r="E270" s="62"/>
      <c r="F270" s="62"/>
      <c r="G270" s="62">
        <f>G266</f>
        <v>78.125</v>
      </c>
      <c r="H270" s="62">
        <f>G270*D270</f>
        <v>312.5</v>
      </c>
      <c r="I270" s="62"/>
      <c r="J270" s="62"/>
      <c r="K270" s="62">
        <f>J270+H270+F270</f>
        <v>312.5</v>
      </c>
    </row>
    <row r="271" spans="1:11" s="63" customFormat="1" ht="13.8">
      <c r="A271" s="21"/>
      <c r="B271" s="24" t="s">
        <v>72</v>
      </c>
      <c r="C271" s="26"/>
      <c r="D271" s="61"/>
      <c r="E271" s="62"/>
      <c r="F271" s="62"/>
      <c r="G271" s="62"/>
      <c r="H271" s="62"/>
      <c r="I271" s="62"/>
      <c r="J271" s="62"/>
      <c r="K271" s="62"/>
    </row>
    <row r="272" spans="1:11" s="63" customFormat="1" ht="13.8">
      <c r="A272" s="21"/>
      <c r="B272" s="24" t="s">
        <v>127</v>
      </c>
      <c r="C272" s="26" t="s">
        <v>31</v>
      </c>
      <c r="D272" s="61">
        <f>D270</f>
        <v>4</v>
      </c>
      <c r="E272" s="62">
        <f>1300/1.18</f>
        <v>1101.6949152542375</v>
      </c>
      <c r="F272" s="62">
        <f>E272*D272</f>
        <v>4406.7796610169498</v>
      </c>
      <c r="G272" s="62"/>
      <c r="H272" s="62"/>
      <c r="I272" s="62"/>
      <c r="J272" s="62"/>
      <c r="K272" s="62">
        <f t="shared" ref="K272" si="63">J272+H272+F272</f>
        <v>4406.7796610169498</v>
      </c>
    </row>
    <row r="273" spans="1:11" s="60" customFormat="1" ht="27.6">
      <c r="A273" s="21">
        <f>A269+1</f>
        <v>28</v>
      </c>
      <c r="B273" s="22" t="s">
        <v>125</v>
      </c>
      <c r="C273" s="21" t="s">
        <v>31</v>
      </c>
      <c r="D273" s="64">
        <v>13</v>
      </c>
      <c r="E273" s="65"/>
      <c r="F273" s="65"/>
      <c r="G273" s="65"/>
      <c r="H273" s="65"/>
      <c r="I273" s="65"/>
      <c r="J273" s="65"/>
      <c r="K273" s="65"/>
    </row>
    <row r="274" spans="1:11" s="63" customFormat="1" ht="13.8">
      <c r="A274" s="21"/>
      <c r="B274" s="24" t="s">
        <v>14</v>
      </c>
      <c r="C274" s="26" t="str">
        <f>C268</f>
        <v>ცალი</v>
      </c>
      <c r="D274" s="61">
        <f>D273</f>
        <v>13</v>
      </c>
      <c r="E274" s="62"/>
      <c r="F274" s="62"/>
      <c r="G274" s="62">
        <f>G270</f>
        <v>78.125</v>
      </c>
      <c r="H274" s="62">
        <f>G274*D274</f>
        <v>1015.625</v>
      </c>
      <c r="I274" s="62"/>
      <c r="J274" s="62"/>
      <c r="K274" s="62">
        <f>J274+H274+F274</f>
        <v>1015.625</v>
      </c>
    </row>
    <row r="275" spans="1:11" s="63" customFormat="1" ht="13.8">
      <c r="A275" s="21"/>
      <c r="B275" s="24" t="s">
        <v>72</v>
      </c>
      <c r="C275" s="26"/>
      <c r="D275" s="61"/>
      <c r="E275" s="62"/>
      <c r="F275" s="62"/>
      <c r="G275" s="62"/>
      <c r="H275" s="62"/>
      <c r="I275" s="62"/>
      <c r="J275" s="62"/>
      <c r="K275" s="62"/>
    </row>
    <row r="276" spans="1:11" s="63" customFormat="1" ht="13.8">
      <c r="A276" s="21"/>
      <c r="B276" s="24" t="s">
        <v>128</v>
      </c>
      <c r="C276" s="26" t="str">
        <f>C274</f>
        <v>ცალი</v>
      </c>
      <c r="D276" s="61">
        <f>D274</f>
        <v>13</v>
      </c>
      <c r="E276" s="62">
        <f>650*3/1.18</f>
        <v>1652.542372881356</v>
      </c>
      <c r="F276" s="62">
        <f>E276*D276</f>
        <v>21483.050847457627</v>
      </c>
      <c r="G276" s="62"/>
      <c r="H276" s="62"/>
      <c r="I276" s="62"/>
      <c r="J276" s="62"/>
      <c r="K276" s="62">
        <f t="shared" ref="K276" si="64">J276+H276+F276</f>
        <v>21483.050847457627</v>
      </c>
    </row>
    <row r="277" spans="1:11" s="60" customFormat="1" ht="13.8">
      <c r="A277" s="21">
        <f>A273+1</f>
        <v>29</v>
      </c>
      <c r="B277" s="22" t="s">
        <v>129</v>
      </c>
      <c r="C277" s="21" t="s">
        <v>31</v>
      </c>
      <c r="D277" s="64">
        <v>10</v>
      </c>
      <c r="E277" s="65"/>
      <c r="F277" s="65"/>
      <c r="G277" s="65"/>
      <c r="H277" s="65"/>
      <c r="I277" s="65"/>
      <c r="J277" s="65"/>
      <c r="K277" s="65"/>
    </row>
    <row r="278" spans="1:11" s="63" customFormat="1" ht="13.8">
      <c r="A278" s="21"/>
      <c r="B278" s="24" t="s">
        <v>14</v>
      </c>
      <c r="C278" s="26" t="s">
        <v>31</v>
      </c>
      <c r="D278" s="61">
        <f>D277</f>
        <v>10</v>
      </c>
      <c r="E278" s="62"/>
      <c r="F278" s="62"/>
      <c r="G278" s="62">
        <f>G274</f>
        <v>78.125</v>
      </c>
      <c r="H278" s="62">
        <f>G278*D278</f>
        <v>781.25</v>
      </c>
      <c r="I278" s="62"/>
      <c r="J278" s="62"/>
      <c r="K278" s="62">
        <f>J278+H278+F278</f>
        <v>781.25</v>
      </c>
    </row>
    <row r="279" spans="1:11" s="63" customFormat="1" ht="13.8">
      <c r="A279" s="21"/>
      <c r="B279" s="24" t="s">
        <v>72</v>
      </c>
      <c r="C279" s="26"/>
      <c r="D279" s="61"/>
      <c r="E279" s="62"/>
      <c r="F279" s="62"/>
      <c r="G279" s="62"/>
      <c r="H279" s="62"/>
      <c r="I279" s="62"/>
      <c r="J279" s="62"/>
      <c r="K279" s="62"/>
    </row>
    <row r="280" spans="1:11" s="63" customFormat="1" ht="13.8">
      <c r="A280" s="21"/>
      <c r="B280" s="24" t="s">
        <v>130</v>
      </c>
      <c r="C280" s="26" t="str">
        <f>C278</f>
        <v>ცალი</v>
      </c>
      <c r="D280" s="61">
        <f>D278</f>
        <v>10</v>
      </c>
      <c r="E280" s="62">
        <f>400*3.5/1.18</f>
        <v>1186.4406779661017</v>
      </c>
      <c r="F280" s="62">
        <f>E280*D280</f>
        <v>11864.406779661018</v>
      </c>
      <c r="G280" s="62"/>
      <c r="H280" s="62"/>
      <c r="I280" s="62"/>
      <c r="J280" s="62"/>
      <c r="K280" s="62">
        <f t="shared" ref="K280" si="65">J280+H280+F280</f>
        <v>11864.406779661018</v>
      </c>
    </row>
    <row r="281" spans="1:11" s="60" customFormat="1" ht="13.8">
      <c r="A281" s="21">
        <f>A277+1</f>
        <v>30</v>
      </c>
      <c r="B281" s="22" t="s">
        <v>131</v>
      </c>
      <c r="C281" s="21" t="s">
        <v>82</v>
      </c>
      <c r="D281" s="64">
        <v>1900</v>
      </c>
      <c r="E281" s="65"/>
      <c r="F281" s="65"/>
      <c r="G281" s="65"/>
      <c r="H281" s="65"/>
      <c r="I281" s="65"/>
      <c r="J281" s="65"/>
      <c r="K281" s="65"/>
    </row>
    <row r="282" spans="1:11" s="63" customFormat="1" ht="13.8">
      <c r="A282" s="21"/>
      <c r="B282" s="24" t="s">
        <v>14</v>
      </c>
      <c r="C282" s="26" t="s">
        <v>82</v>
      </c>
      <c r="D282" s="61">
        <f>D281</f>
        <v>1900</v>
      </c>
      <c r="E282" s="62"/>
      <c r="F282" s="62"/>
      <c r="G282" s="62">
        <f>6/0.8/0.96</f>
        <v>7.8125</v>
      </c>
      <c r="H282" s="62">
        <f>G282*D282</f>
        <v>14843.75</v>
      </c>
      <c r="I282" s="62"/>
      <c r="J282" s="62"/>
      <c r="K282" s="62">
        <f>J282+H282+F282</f>
        <v>14843.75</v>
      </c>
    </row>
    <row r="283" spans="1:11" s="63" customFormat="1" ht="13.8">
      <c r="A283" s="21"/>
      <c r="B283" s="24" t="s">
        <v>72</v>
      </c>
      <c r="C283" s="26"/>
      <c r="D283" s="61"/>
      <c r="E283" s="62"/>
      <c r="F283" s="62"/>
      <c r="G283" s="62"/>
      <c r="H283" s="62"/>
      <c r="I283" s="62"/>
      <c r="J283" s="62"/>
      <c r="K283" s="62"/>
    </row>
    <row r="284" spans="1:11" s="63" customFormat="1" ht="13.8">
      <c r="A284" s="21"/>
      <c r="B284" s="24" t="s">
        <v>40</v>
      </c>
      <c r="C284" s="26" t="s">
        <v>65</v>
      </c>
      <c r="D284" s="61">
        <f>D281*1.02</f>
        <v>1938</v>
      </c>
      <c r="E284" s="62">
        <f>7/1.18</f>
        <v>5.9322033898305087</v>
      </c>
      <c r="F284" s="62">
        <f>E284*D284</f>
        <v>11496.610169491525</v>
      </c>
      <c r="G284" s="62"/>
      <c r="H284" s="62"/>
      <c r="I284" s="62"/>
      <c r="J284" s="62"/>
      <c r="K284" s="62">
        <f t="shared" ref="K284:K285" si="66">J284+H284+F284</f>
        <v>11496.610169491525</v>
      </c>
    </row>
    <row r="285" spans="1:11" s="63" customFormat="1" ht="13.8">
      <c r="A285" s="21"/>
      <c r="B285" s="24" t="s">
        <v>91</v>
      </c>
      <c r="C285" s="26" t="s">
        <v>19</v>
      </c>
      <c r="D285" s="61">
        <f>D281*0.58</f>
        <v>1102</v>
      </c>
      <c r="E285" s="62">
        <f>E239</f>
        <v>0.61016949152542377</v>
      </c>
      <c r="F285" s="62">
        <f>E285*D285</f>
        <v>672.40677966101703</v>
      </c>
      <c r="G285" s="62"/>
      <c r="H285" s="62"/>
      <c r="I285" s="62"/>
      <c r="J285" s="62"/>
      <c r="K285" s="62">
        <f t="shared" si="66"/>
        <v>672.40677966101703</v>
      </c>
    </row>
    <row r="286" spans="1:11" s="60" customFormat="1" ht="13.8">
      <c r="A286" s="21">
        <f>A281+1</f>
        <v>31</v>
      </c>
      <c r="B286" s="22" t="s">
        <v>96</v>
      </c>
      <c r="C286" s="21" t="s">
        <v>80</v>
      </c>
      <c r="D286" s="64">
        <v>75</v>
      </c>
      <c r="E286" s="65"/>
      <c r="F286" s="65"/>
      <c r="G286" s="65"/>
      <c r="H286" s="65"/>
      <c r="I286" s="65"/>
      <c r="J286" s="65"/>
      <c r="K286" s="65"/>
    </row>
    <row r="287" spans="1:11" s="63" customFormat="1" ht="13.8">
      <c r="A287" s="21"/>
      <c r="B287" s="24" t="s">
        <v>14</v>
      </c>
      <c r="C287" s="26" t="s">
        <v>80</v>
      </c>
      <c r="D287" s="61">
        <f>D286</f>
        <v>75</v>
      </c>
      <c r="E287" s="62"/>
      <c r="F287" s="62"/>
      <c r="G287" s="62">
        <f>G235</f>
        <v>32.552083333333336</v>
      </c>
      <c r="H287" s="62">
        <f>G287*D287</f>
        <v>2441.40625</v>
      </c>
      <c r="I287" s="62"/>
      <c r="J287" s="62"/>
      <c r="K287" s="62">
        <f>J287+H287+F287</f>
        <v>2441.40625</v>
      </c>
    </row>
    <row r="288" spans="1:11" s="63" customFormat="1" ht="13.8">
      <c r="A288" s="21"/>
      <c r="B288" s="24" t="s">
        <v>26</v>
      </c>
      <c r="C288" s="26" t="s">
        <v>17</v>
      </c>
      <c r="D288" s="61">
        <f>D286*0.032</f>
        <v>2.4</v>
      </c>
      <c r="E288" s="62"/>
      <c r="F288" s="62"/>
      <c r="G288" s="62"/>
      <c r="H288" s="62"/>
      <c r="I288" s="62">
        <v>3.2</v>
      </c>
      <c r="J288" s="62">
        <f>I288*D288</f>
        <v>7.68</v>
      </c>
      <c r="K288" s="62">
        <f t="shared" ref="K288:K292" si="67">J288+H288+F288</f>
        <v>7.68</v>
      </c>
    </row>
    <row r="289" spans="1:11" s="63" customFormat="1" ht="13.8">
      <c r="A289" s="21"/>
      <c r="B289" s="24" t="s">
        <v>18</v>
      </c>
      <c r="C289" s="26"/>
      <c r="D289" s="61"/>
      <c r="E289" s="62"/>
      <c r="F289" s="62"/>
      <c r="G289" s="62"/>
      <c r="H289" s="62"/>
      <c r="I289" s="62"/>
      <c r="J289" s="62"/>
      <c r="K289" s="62"/>
    </row>
    <row r="290" spans="1:11" s="63" customFormat="1" ht="13.8">
      <c r="A290" s="21"/>
      <c r="B290" s="24" t="s">
        <v>97</v>
      </c>
      <c r="C290" s="26" t="s">
        <v>80</v>
      </c>
      <c r="D290" s="61">
        <f>D286*1.02</f>
        <v>76.5</v>
      </c>
      <c r="E290" s="62">
        <f>E238</f>
        <v>26.016949152542374</v>
      </c>
      <c r="F290" s="62">
        <f>E290*D290</f>
        <v>1990.2966101694915</v>
      </c>
      <c r="G290" s="62"/>
      <c r="H290" s="62"/>
      <c r="I290" s="62"/>
      <c r="J290" s="62"/>
      <c r="K290" s="62">
        <f t="shared" si="67"/>
        <v>1990.2966101694915</v>
      </c>
    </row>
    <row r="291" spans="1:11" s="63" customFormat="1" ht="13.8">
      <c r="A291" s="21"/>
      <c r="B291" s="24" t="s">
        <v>91</v>
      </c>
      <c r="C291" s="26" t="s">
        <v>19</v>
      </c>
      <c r="D291" s="61">
        <f>D286*6</f>
        <v>450</v>
      </c>
      <c r="E291" s="62">
        <f>E239</f>
        <v>0.61016949152542377</v>
      </c>
      <c r="F291" s="62">
        <f t="shared" ref="F291:F292" si="68">E291*D291</f>
        <v>274.57627118644069</v>
      </c>
      <c r="G291" s="62"/>
      <c r="H291" s="62"/>
      <c r="I291" s="62"/>
      <c r="J291" s="62"/>
      <c r="K291" s="62">
        <f t="shared" si="67"/>
        <v>274.57627118644069</v>
      </c>
    </row>
    <row r="292" spans="1:11" s="63" customFormat="1" ht="13.8">
      <c r="A292" s="21"/>
      <c r="B292" s="24" t="s">
        <v>26</v>
      </c>
      <c r="C292" s="26" t="s">
        <v>17</v>
      </c>
      <c r="D292" s="61">
        <f>D286*0.19</f>
        <v>14.25</v>
      </c>
      <c r="E292" s="62">
        <f>E240</f>
        <v>3.2</v>
      </c>
      <c r="F292" s="62">
        <f t="shared" si="68"/>
        <v>45.6</v>
      </c>
      <c r="G292" s="62"/>
      <c r="H292" s="62"/>
      <c r="I292" s="62"/>
      <c r="J292" s="62"/>
      <c r="K292" s="62">
        <f t="shared" si="67"/>
        <v>45.6</v>
      </c>
    </row>
    <row r="293" spans="1:11" s="60" customFormat="1" ht="13.8">
      <c r="A293" s="21">
        <f>A286+1</f>
        <v>32</v>
      </c>
      <c r="B293" s="22" t="s">
        <v>98</v>
      </c>
      <c r="C293" s="21" t="s">
        <v>65</v>
      </c>
      <c r="D293" s="64">
        <f>D286/0.15</f>
        <v>500</v>
      </c>
      <c r="E293" s="65"/>
      <c r="F293" s="65"/>
      <c r="G293" s="65"/>
      <c r="H293" s="65"/>
      <c r="I293" s="65"/>
      <c r="J293" s="65"/>
      <c r="K293" s="65"/>
    </row>
    <row r="294" spans="1:11" s="63" customFormat="1" ht="13.8">
      <c r="A294" s="21"/>
      <c r="B294" s="24" t="s">
        <v>14</v>
      </c>
      <c r="C294" s="26" t="s">
        <v>65</v>
      </c>
      <c r="D294" s="61">
        <f>D293</f>
        <v>500</v>
      </c>
      <c r="E294" s="62"/>
      <c r="F294" s="62"/>
      <c r="G294" s="62">
        <f>6*1.3</f>
        <v>7.8000000000000007</v>
      </c>
      <c r="H294" s="62">
        <f>G294*D294</f>
        <v>3900.0000000000005</v>
      </c>
      <c r="I294" s="62"/>
      <c r="J294" s="62"/>
      <c r="K294" s="62">
        <f>J294+H294+F294</f>
        <v>3900.0000000000005</v>
      </c>
    </row>
    <row r="295" spans="1:11" s="63" customFormat="1" ht="13.8">
      <c r="A295" s="21"/>
      <c r="B295" s="24" t="s">
        <v>18</v>
      </c>
      <c r="C295" s="26"/>
      <c r="D295" s="61"/>
      <c r="E295" s="62"/>
      <c r="F295" s="62"/>
      <c r="G295" s="62"/>
      <c r="H295" s="62"/>
      <c r="I295" s="62"/>
      <c r="J295" s="62"/>
      <c r="K295" s="62"/>
    </row>
    <row r="296" spans="1:11" s="63" customFormat="1" ht="13.8">
      <c r="A296" s="21"/>
      <c r="B296" s="24" t="s">
        <v>35</v>
      </c>
      <c r="C296" s="26" t="s">
        <v>80</v>
      </c>
      <c r="D296" s="61">
        <f>D293*0.15</f>
        <v>75</v>
      </c>
      <c r="E296" s="62">
        <f>16/1.18</f>
        <v>13.559322033898306</v>
      </c>
      <c r="F296" s="62">
        <f>E296*D296</f>
        <v>1016.949152542373</v>
      </c>
      <c r="G296" s="62"/>
      <c r="H296" s="62"/>
      <c r="I296" s="62"/>
      <c r="J296" s="62"/>
      <c r="K296" s="62">
        <f t="shared" ref="K296:K298" si="69">J296+H296+F296</f>
        <v>1016.949152542373</v>
      </c>
    </row>
    <row r="297" spans="1:11" s="63" customFormat="1" ht="13.8">
      <c r="A297" s="21"/>
      <c r="B297" s="24" t="s">
        <v>99</v>
      </c>
      <c r="C297" s="26" t="s">
        <v>31</v>
      </c>
      <c r="D297" s="61">
        <f>D296*6</f>
        <v>450</v>
      </c>
      <c r="E297" s="62">
        <f>0.05</f>
        <v>0.05</v>
      </c>
      <c r="F297" s="62">
        <f t="shared" ref="F297:F298" si="70">E297*D297</f>
        <v>22.5</v>
      </c>
      <c r="G297" s="62"/>
      <c r="H297" s="62"/>
      <c r="I297" s="62"/>
      <c r="J297" s="62"/>
      <c r="K297" s="62">
        <f t="shared" si="69"/>
        <v>22.5</v>
      </c>
    </row>
    <row r="298" spans="1:11" s="63" customFormat="1" ht="13.8">
      <c r="A298" s="21"/>
      <c r="B298" s="24" t="s">
        <v>26</v>
      </c>
      <c r="C298" s="26" t="s">
        <v>17</v>
      </c>
      <c r="D298" s="61">
        <f>D293*0.014</f>
        <v>7</v>
      </c>
      <c r="E298" s="62">
        <v>3.2</v>
      </c>
      <c r="F298" s="62">
        <f t="shared" si="70"/>
        <v>22.400000000000002</v>
      </c>
      <c r="G298" s="62"/>
      <c r="H298" s="62"/>
      <c r="I298" s="62"/>
      <c r="J298" s="62"/>
      <c r="K298" s="62">
        <f t="shared" si="69"/>
        <v>22.400000000000002</v>
      </c>
    </row>
    <row r="299" spans="1:11" s="66" customFormat="1" ht="27.6">
      <c r="A299" s="21">
        <f>A293+1</f>
        <v>33</v>
      </c>
      <c r="B299" s="22" t="s">
        <v>100</v>
      </c>
      <c r="C299" s="21" t="s">
        <v>75</v>
      </c>
      <c r="D299" s="64">
        <v>18</v>
      </c>
      <c r="E299" s="65"/>
      <c r="F299" s="65"/>
      <c r="G299" s="65"/>
      <c r="H299" s="65"/>
      <c r="I299" s="65"/>
      <c r="J299" s="65"/>
      <c r="K299" s="65"/>
    </row>
    <row r="300" spans="1:11" s="67" customFormat="1" ht="13.8">
      <c r="A300" s="21"/>
      <c r="B300" s="24" t="s">
        <v>14</v>
      </c>
      <c r="C300" s="26" t="str">
        <f>C299</f>
        <v>მ²</v>
      </c>
      <c r="D300" s="61">
        <f>D299</f>
        <v>18</v>
      </c>
      <c r="E300" s="62"/>
      <c r="F300" s="62"/>
      <c r="G300" s="62">
        <f>60/0.8/0.96</f>
        <v>78.125</v>
      </c>
      <c r="H300" s="62">
        <f>G300*D300</f>
        <v>1406.25</v>
      </c>
      <c r="I300" s="62"/>
      <c r="J300" s="62"/>
      <c r="K300" s="62">
        <f t="shared" ref="K300:K309" si="71">J300+H300+F300</f>
        <v>1406.25</v>
      </c>
    </row>
    <row r="301" spans="1:11" s="67" customFormat="1" ht="13.8">
      <c r="A301" s="21"/>
      <c r="B301" s="24" t="s">
        <v>16</v>
      </c>
      <c r="C301" s="26" t="s">
        <v>17</v>
      </c>
      <c r="D301" s="61">
        <f>D299*3.1</f>
        <v>55.800000000000004</v>
      </c>
      <c r="E301" s="62"/>
      <c r="F301" s="62"/>
      <c r="G301" s="62"/>
      <c r="H301" s="62"/>
      <c r="I301" s="62">
        <v>3.2</v>
      </c>
      <c r="J301" s="62">
        <f>I301*D301</f>
        <v>178.56000000000003</v>
      </c>
      <c r="K301" s="62">
        <f t="shared" si="71"/>
        <v>178.56000000000003</v>
      </c>
    </row>
    <row r="302" spans="1:11" s="67" customFormat="1" ht="13.8">
      <c r="A302" s="21"/>
      <c r="B302" s="24" t="s">
        <v>18</v>
      </c>
      <c r="C302" s="26"/>
      <c r="D302" s="61"/>
      <c r="E302" s="62"/>
      <c r="F302" s="62"/>
      <c r="G302" s="62"/>
      <c r="H302" s="62"/>
      <c r="I302" s="62"/>
      <c r="J302" s="62"/>
      <c r="K302" s="62"/>
    </row>
    <row r="303" spans="1:11" s="67" customFormat="1" ht="13.8">
      <c r="A303" s="21"/>
      <c r="B303" s="24" t="s">
        <v>101</v>
      </c>
      <c r="C303" s="26" t="s">
        <v>80</v>
      </c>
      <c r="D303" s="61">
        <f>D299</f>
        <v>18</v>
      </c>
      <c r="E303" s="62">
        <f>200*3.5/1.18</f>
        <v>593.22033898305085</v>
      </c>
      <c r="F303" s="62">
        <f>E303*D303</f>
        <v>10677.966101694916</v>
      </c>
      <c r="G303" s="62"/>
      <c r="H303" s="62"/>
      <c r="I303" s="62"/>
      <c r="J303" s="62"/>
      <c r="K303" s="62">
        <f t="shared" si="71"/>
        <v>10677.966101694916</v>
      </c>
    </row>
    <row r="304" spans="1:11" s="67" customFormat="1" ht="13.8">
      <c r="A304" s="21"/>
      <c r="B304" s="24" t="s">
        <v>26</v>
      </c>
      <c r="C304" s="26" t="s">
        <v>17</v>
      </c>
      <c r="D304" s="61">
        <f>D299*5.14</f>
        <v>92.52</v>
      </c>
      <c r="E304" s="62">
        <v>3.2</v>
      </c>
      <c r="F304" s="62">
        <f>E304*D304</f>
        <v>296.06400000000002</v>
      </c>
      <c r="G304" s="62"/>
      <c r="H304" s="62"/>
      <c r="I304" s="62"/>
      <c r="J304" s="62"/>
      <c r="K304" s="62">
        <f t="shared" si="71"/>
        <v>296.06400000000002</v>
      </c>
    </row>
    <row r="305" spans="1:11" s="60" customFormat="1" ht="13.8">
      <c r="A305" s="21">
        <f>A299+1</f>
        <v>34</v>
      </c>
      <c r="B305" s="79" t="s">
        <v>102</v>
      </c>
      <c r="C305" s="80" t="s">
        <v>31</v>
      </c>
      <c r="D305" s="81">
        <v>1</v>
      </c>
      <c r="E305" s="65">
        <f>28000*3.5/1.18</f>
        <v>83050.847457627126</v>
      </c>
      <c r="F305" s="65">
        <f>E305*D305</f>
        <v>83050.847457627126</v>
      </c>
      <c r="G305" s="65"/>
      <c r="H305" s="65"/>
      <c r="I305" s="65"/>
      <c r="J305" s="65"/>
      <c r="K305" s="65">
        <f t="shared" si="71"/>
        <v>83050.847457627126</v>
      </c>
    </row>
    <row r="306" spans="1:11" s="60" customFormat="1" ht="13.8">
      <c r="A306" s="21"/>
      <c r="B306" s="79" t="s">
        <v>142</v>
      </c>
      <c r="C306" s="80" t="s">
        <v>143</v>
      </c>
      <c r="D306" s="81">
        <v>6</v>
      </c>
      <c r="E306" s="65"/>
      <c r="F306" s="65"/>
      <c r="G306" s="65"/>
      <c r="H306" s="65"/>
      <c r="I306" s="65">
        <f>2200/1.18</f>
        <v>1864.406779661017</v>
      </c>
      <c r="J306" s="65">
        <f>I306*D306</f>
        <v>11186.440677966102</v>
      </c>
      <c r="K306" s="65">
        <f t="shared" si="71"/>
        <v>11186.440677966102</v>
      </c>
    </row>
    <row r="307" spans="1:11" s="60" customFormat="1" ht="13.8">
      <c r="A307" s="21"/>
      <c r="B307" s="79" t="s">
        <v>144</v>
      </c>
      <c r="C307" s="80" t="s">
        <v>145</v>
      </c>
      <c r="D307" s="81">
        <v>15</v>
      </c>
      <c r="E307" s="65"/>
      <c r="F307" s="65"/>
      <c r="G307" s="65"/>
      <c r="H307" s="65"/>
      <c r="I307" s="65">
        <f>650/1.18</f>
        <v>550.84745762711873</v>
      </c>
      <c r="J307" s="65">
        <f>I307*D307</f>
        <v>8262.7118644067814</v>
      </c>
      <c r="K307" s="65">
        <f t="shared" si="71"/>
        <v>8262.7118644067814</v>
      </c>
    </row>
    <row r="308" spans="1:11" s="60" customFormat="1" ht="13.8">
      <c r="A308" s="21"/>
      <c r="B308" s="79" t="s">
        <v>146</v>
      </c>
      <c r="C308" s="80" t="s">
        <v>145</v>
      </c>
      <c r="D308" s="81">
        <f>180</f>
        <v>180</v>
      </c>
      <c r="E308" s="65"/>
      <c r="F308" s="65"/>
      <c r="G308" s="65">
        <f>35/0.8/0.96</f>
        <v>45.572916666666671</v>
      </c>
      <c r="H308" s="65">
        <f>G308*D308</f>
        <v>8203.125</v>
      </c>
      <c r="I308" s="65"/>
      <c r="J308" s="65"/>
      <c r="K308" s="65">
        <f t="shared" si="71"/>
        <v>8203.125</v>
      </c>
    </row>
    <row r="309" spans="1:11" s="66" customFormat="1" ht="13.8">
      <c r="A309" s="21"/>
      <c r="B309" s="22" t="s">
        <v>155</v>
      </c>
      <c r="C309" s="21" t="s">
        <v>75</v>
      </c>
      <c r="D309" s="64">
        <v>1000</v>
      </c>
      <c r="E309" s="65">
        <f>20/1.18</f>
        <v>16.949152542372882</v>
      </c>
      <c r="F309" s="65">
        <f>E309*D309</f>
        <v>16949.152542372882</v>
      </c>
      <c r="G309" s="65">
        <f>2.5/0.8/0.96</f>
        <v>3.2552083333333335</v>
      </c>
      <c r="H309" s="65">
        <f>G309*D309</f>
        <v>3255.2083333333335</v>
      </c>
      <c r="I309" s="65"/>
      <c r="J309" s="65"/>
      <c r="K309" s="65">
        <f t="shared" si="71"/>
        <v>20204.360875706214</v>
      </c>
    </row>
    <row r="310" spans="1:11" s="88" customFormat="1" ht="14.25" customHeight="1">
      <c r="A310" s="82"/>
      <c r="B310" s="83" t="s">
        <v>103</v>
      </c>
      <c r="C310" s="82"/>
      <c r="D310" s="84"/>
      <c r="E310" s="85"/>
      <c r="F310" s="31">
        <f>SUM(F13:F309)</f>
        <v>930171.64629422058</v>
      </c>
      <c r="G310" s="86"/>
      <c r="H310" s="31">
        <f>SUM(H13:H309)</f>
        <v>624709.26353269781</v>
      </c>
      <c r="I310" s="87"/>
      <c r="J310" s="31">
        <f>SUM(J13:J309)</f>
        <v>34876.515102372883</v>
      </c>
      <c r="K310" s="31">
        <f>SUM(K13:K309)</f>
        <v>1589757.4249292908</v>
      </c>
    </row>
    <row r="311" spans="1:11" s="94" customFormat="1">
      <c r="A311" s="82"/>
      <c r="B311" s="89" t="s">
        <v>104</v>
      </c>
      <c r="C311" s="90">
        <v>0.03</v>
      </c>
      <c r="D311" s="91"/>
      <c r="E311" s="92"/>
      <c r="F311" s="87"/>
      <c r="G311" s="86"/>
      <c r="H311" s="86"/>
      <c r="I311" s="87"/>
      <c r="J311" s="87"/>
      <c r="K311" s="93">
        <f>F310*C311</f>
        <v>27905.149388826616</v>
      </c>
    </row>
    <row r="312" spans="1:11" s="99" customFormat="1" ht="15" customHeight="1">
      <c r="A312" s="89"/>
      <c r="B312" s="89" t="s">
        <v>103</v>
      </c>
      <c r="C312" s="89"/>
      <c r="D312" s="95"/>
      <c r="E312" s="96"/>
      <c r="F312" s="97"/>
      <c r="G312" s="97"/>
      <c r="H312" s="97"/>
      <c r="I312" s="97"/>
      <c r="J312" s="97"/>
      <c r="K312" s="98">
        <f>K311+K310</f>
        <v>1617662.5743181175</v>
      </c>
    </row>
    <row r="313" spans="1:11" s="106" customFormat="1" ht="13.8">
      <c r="A313" s="89"/>
      <c r="B313" s="100" t="s">
        <v>105</v>
      </c>
      <c r="C313" s="101">
        <v>1.4999999999999999E-2</v>
      </c>
      <c r="D313" s="102"/>
      <c r="E313" s="103"/>
      <c r="F313" s="104"/>
      <c r="G313" s="104"/>
      <c r="H313" s="104"/>
      <c r="I313" s="104"/>
      <c r="J313" s="104"/>
      <c r="K313" s="105">
        <f>K312*C313</f>
        <v>24264.93861477176</v>
      </c>
    </row>
    <row r="314" spans="1:11" s="106" customFormat="1" ht="13.8">
      <c r="A314" s="100"/>
      <c r="B314" s="100" t="s">
        <v>103</v>
      </c>
      <c r="C314" s="100"/>
      <c r="D314" s="102"/>
      <c r="E314" s="103"/>
      <c r="F314" s="104"/>
      <c r="G314" s="104"/>
      <c r="H314" s="104"/>
      <c r="I314" s="104"/>
      <c r="J314" s="104"/>
      <c r="K314" s="105">
        <f>K313+K312</f>
        <v>1641927.5129328892</v>
      </c>
    </row>
    <row r="315" spans="1:11" s="106" customFormat="1" ht="13.8">
      <c r="A315" s="100"/>
      <c r="B315" s="100" t="s">
        <v>106</v>
      </c>
      <c r="C315" s="107">
        <v>0.1</v>
      </c>
      <c r="D315" s="102"/>
      <c r="E315" s="103"/>
      <c r="F315" s="104"/>
      <c r="G315" s="104"/>
      <c r="H315" s="104"/>
      <c r="I315" s="104"/>
      <c r="J315" s="104"/>
      <c r="K315" s="105">
        <f>K314*C315</f>
        <v>164192.75129328892</v>
      </c>
    </row>
    <row r="316" spans="1:11" s="106" customFormat="1" ht="13.8">
      <c r="A316" s="100"/>
      <c r="B316" s="100" t="s">
        <v>103</v>
      </c>
      <c r="C316" s="100"/>
      <c r="D316" s="102"/>
      <c r="E316" s="103"/>
      <c r="F316" s="104"/>
      <c r="G316" s="104"/>
      <c r="H316" s="104"/>
      <c r="I316" s="104"/>
      <c r="J316" s="104"/>
      <c r="K316" s="105">
        <f>K315+K314</f>
        <v>1806120.2642261782</v>
      </c>
    </row>
    <row r="317" spans="1:11" s="106" customFormat="1" ht="13.8">
      <c r="A317" s="100"/>
      <c r="B317" s="100" t="s">
        <v>107</v>
      </c>
      <c r="C317" s="107">
        <v>0.08</v>
      </c>
      <c r="D317" s="102"/>
      <c r="E317" s="103"/>
      <c r="F317" s="104"/>
      <c r="G317" s="104"/>
      <c r="H317" s="104"/>
      <c r="I317" s="104"/>
      <c r="J317" s="104"/>
      <c r="K317" s="105">
        <f>K316*C317</f>
        <v>144489.62113809426</v>
      </c>
    </row>
    <row r="318" spans="1:11" s="106" customFormat="1" ht="13.8">
      <c r="A318" s="100"/>
      <c r="B318" s="100" t="s">
        <v>103</v>
      </c>
      <c r="C318" s="100"/>
      <c r="D318" s="102"/>
      <c r="E318" s="103"/>
      <c r="F318" s="104"/>
      <c r="G318" s="104"/>
      <c r="H318" s="104"/>
      <c r="I318" s="104"/>
      <c r="J318" s="104"/>
      <c r="K318" s="105">
        <f>K316+K317</f>
        <v>1950609.8853642724</v>
      </c>
    </row>
    <row r="319" spans="1:11" s="106" customFormat="1" ht="13.8">
      <c r="A319" s="100"/>
      <c r="B319" s="100" t="s">
        <v>132</v>
      </c>
      <c r="C319" s="107">
        <v>0.05</v>
      </c>
      <c r="D319" s="102"/>
      <c r="E319" s="103"/>
      <c r="F319" s="104"/>
      <c r="G319" s="104"/>
      <c r="H319" s="104"/>
      <c r="I319" s="104"/>
      <c r="J319" s="104"/>
      <c r="K319" s="105">
        <f>K318*C319</f>
        <v>97530.494268213632</v>
      </c>
    </row>
    <row r="320" spans="1:11" s="106" customFormat="1" ht="13.8">
      <c r="A320" s="100"/>
      <c r="B320" s="100" t="s">
        <v>103</v>
      </c>
      <c r="C320" s="100"/>
      <c r="D320" s="102"/>
      <c r="E320" s="103"/>
      <c r="F320" s="104"/>
      <c r="G320" s="104"/>
      <c r="H320" s="104"/>
      <c r="I320" s="104"/>
      <c r="J320" s="104"/>
      <c r="K320" s="105">
        <f>K319+K318</f>
        <v>2048140.379632486</v>
      </c>
    </row>
    <row r="321" spans="1:15" s="114" customFormat="1">
      <c r="A321" s="27"/>
      <c r="B321" s="108" t="s">
        <v>108</v>
      </c>
      <c r="C321" s="109">
        <v>0.18</v>
      </c>
      <c r="D321" s="110"/>
      <c r="E321" s="111"/>
      <c r="F321" s="112"/>
      <c r="G321" s="112"/>
      <c r="H321" s="112"/>
      <c r="I321" s="112"/>
      <c r="J321" s="112"/>
      <c r="K321" s="113">
        <f>K320*C321</f>
        <v>368665.26833384746</v>
      </c>
    </row>
    <row r="322" spans="1:15" s="114" customFormat="1">
      <c r="A322" s="27"/>
      <c r="B322" s="108" t="s">
        <v>103</v>
      </c>
      <c r="C322" s="115"/>
      <c r="D322" s="110"/>
      <c r="E322" s="111"/>
      <c r="F322" s="112"/>
      <c r="G322" s="112"/>
      <c r="H322" s="112"/>
      <c r="I322" s="112"/>
      <c r="J322" s="112"/>
      <c r="K322" s="113">
        <f>K320+K321</f>
        <v>2416805.6479663337</v>
      </c>
    </row>
    <row r="323" spans="1:15">
      <c r="K323" s="121"/>
      <c r="L323" t="s">
        <v>156</v>
      </c>
      <c r="N323" s="136">
        <f>20000*3.9*1.3*1.18</f>
        <v>119652</v>
      </c>
      <c r="O323" s="138">
        <v>20000</v>
      </c>
    </row>
    <row r="324" spans="1:15">
      <c r="A324" s="264"/>
      <c r="B324" s="264"/>
      <c r="C324" s="264"/>
      <c r="D324" s="264"/>
      <c r="E324" s="264"/>
      <c r="F324" s="264"/>
      <c r="G324" s="264"/>
      <c r="H324" s="264"/>
      <c r="I324" s="264"/>
      <c r="J324" s="264"/>
      <c r="K324" s="264"/>
    </row>
    <row r="325" spans="1:15">
      <c r="A325" s="264"/>
      <c r="B325" s="264"/>
      <c r="C325" s="264"/>
      <c r="D325" s="264"/>
      <c r="E325" s="264"/>
      <c r="F325" s="264"/>
      <c r="G325" s="264"/>
      <c r="H325" s="264"/>
      <c r="I325" s="264"/>
      <c r="J325" s="264"/>
      <c r="K325" s="264"/>
    </row>
    <row r="326" spans="1:15">
      <c r="A326" s="134"/>
      <c r="B326" s="265"/>
      <c r="C326" s="265"/>
      <c r="D326" s="265"/>
      <c r="E326" s="265"/>
      <c r="F326" s="122"/>
      <c r="G326" s="122"/>
      <c r="H326" s="122"/>
      <c r="I326" s="122"/>
      <c r="J326" s="122"/>
      <c r="K326" s="123"/>
    </row>
    <row r="327" spans="1:15">
      <c r="H327" s="120">
        <f>30000/0.8/0.96*3.42*1.18</f>
        <v>157640.625</v>
      </c>
      <c r="K327" s="128"/>
    </row>
    <row r="328" spans="1:15">
      <c r="H328" s="128" t="e">
        <f>K322-#REF!</f>
        <v>#REF!</v>
      </c>
      <c r="K328" s="128"/>
      <c r="N328" s="137"/>
    </row>
    <row r="329" spans="1:15">
      <c r="H329" s="128" t="e">
        <f>H327-H328</f>
        <v>#REF!</v>
      </c>
      <c r="K329" s="128"/>
    </row>
  </sheetData>
  <mergeCells count="20">
    <mergeCell ref="H10:H11"/>
    <mergeCell ref="J10:J11"/>
    <mergeCell ref="A324:K325"/>
    <mergeCell ref="B326:E326"/>
    <mergeCell ref="J7:K7"/>
    <mergeCell ref="A8:A11"/>
    <mergeCell ref="C8:C11"/>
    <mergeCell ref="D8:D9"/>
    <mergeCell ref="E8:F9"/>
    <mergeCell ref="G8:H9"/>
    <mergeCell ref="I8:J9"/>
    <mergeCell ref="K8:K11"/>
    <mergeCell ref="D10:D11"/>
    <mergeCell ref="F10:F11"/>
    <mergeCell ref="A1:K1"/>
    <mergeCell ref="A2:K2"/>
    <mergeCell ref="A3:K3"/>
    <mergeCell ref="A5:D5"/>
    <mergeCell ref="G5:I5"/>
    <mergeCell ref="J5:K5"/>
  </mergeCells>
  <conditionalFormatting sqref="D312">
    <cfRule type="cellIs" dxfId="5" priority="1" stopIfTrue="1" operator="equal">
      <formula>8223.307275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2"/>
  <sheetViews>
    <sheetView topLeftCell="A295" zoomScale="70" zoomScaleNormal="70" zoomScalePageLayoutView="70" workbookViewId="0">
      <selection activeCell="H16" sqref="H16"/>
    </sheetView>
  </sheetViews>
  <sheetFormatPr defaultColWidth="8.77734375" defaultRowHeight="14.4"/>
  <cols>
    <col min="1" max="1" width="6" style="116" customWidth="1"/>
    <col min="2" max="2" width="44.33203125" customWidth="1"/>
    <col min="3" max="3" width="9" style="117" customWidth="1"/>
    <col min="4" max="4" width="11.109375" style="118" customWidth="1"/>
    <col min="5" max="5" width="12.44140625" style="119" bestFit="1" customWidth="1"/>
    <col min="6" max="6" width="13.44140625" style="120" customWidth="1"/>
    <col min="7" max="7" width="11.44140625" style="120" bestFit="1" customWidth="1"/>
    <col min="8" max="8" width="13.44140625" style="120" bestFit="1" customWidth="1"/>
    <col min="9" max="9" width="13.33203125" style="120" customWidth="1"/>
    <col min="10" max="10" width="12.44140625" style="120" bestFit="1" customWidth="1"/>
    <col min="11" max="11" width="17.33203125" style="120" bestFit="1" customWidth="1"/>
    <col min="12" max="12" width="37.21875" customWidth="1"/>
  </cols>
  <sheetData>
    <row r="1" spans="1:11" s="1" customFormat="1" ht="15.75" customHeight="1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s="1" customFormat="1" ht="17.25" customHeight="1">
      <c r="A2" s="258" t="s">
        <v>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s="1" customFormat="1" ht="17.25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s="1" customFormat="1">
      <c r="A4" s="2"/>
      <c r="B4" s="3"/>
      <c r="C4" s="207"/>
      <c r="D4" s="207"/>
      <c r="E4" s="4"/>
      <c r="F4" s="209"/>
      <c r="G4" s="5"/>
      <c r="H4" s="5"/>
      <c r="I4" s="5"/>
      <c r="J4" s="5"/>
      <c r="K4" s="5"/>
    </row>
    <row r="5" spans="1:11" s="6" customFormat="1" ht="13.5" customHeight="1">
      <c r="A5" s="259"/>
      <c r="B5" s="259"/>
      <c r="C5" s="259"/>
      <c r="D5" s="259"/>
      <c r="E5" s="4"/>
      <c r="F5" s="209"/>
      <c r="G5" s="260" t="s">
        <v>2</v>
      </c>
      <c r="H5" s="260"/>
      <c r="I5" s="260"/>
      <c r="J5" s="261"/>
      <c r="K5" s="261"/>
    </row>
    <row r="6" spans="1:11" s="6" customFormat="1" ht="13.5" customHeight="1">
      <c r="A6" s="2"/>
      <c r="B6" s="208"/>
      <c r="C6" s="208"/>
      <c r="D6" s="208"/>
      <c r="E6" s="4"/>
      <c r="F6" s="209"/>
      <c r="G6" s="209"/>
      <c r="H6" s="209"/>
      <c r="I6" s="209"/>
      <c r="J6" s="5"/>
      <c r="K6" s="5"/>
    </row>
    <row r="7" spans="1:11" s="1" customFormat="1" ht="10.5" customHeight="1">
      <c r="A7" s="2"/>
      <c r="B7" s="7"/>
      <c r="C7" s="208"/>
      <c r="D7" s="208"/>
      <c r="E7" s="8"/>
      <c r="F7" s="5"/>
      <c r="G7" s="5"/>
      <c r="H7" s="5"/>
      <c r="I7" s="5"/>
      <c r="J7" s="266"/>
      <c r="K7" s="266"/>
    </row>
    <row r="8" spans="1:11" s="10" customFormat="1" ht="13.95" customHeight="1">
      <c r="A8" s="267" t="s">
        <v>3</v>
      </c>
      <c r="B8" s="9"/>
      <c r="C8" s="270" t="s">
        <v>4</v>
      </c>
      <c r="D8" s="273"/>
      <c r="E8" s="275" t="s">
        <v>5</v>
      </c>
      <c r="F8" s="276"/>
      <c r="G8" s="275" t="s">
        <v>6</v>
      </c>
      <c r="H8" s="276"/>
      <c r="I8" s="279" t="s">
        <v>7</v>
      </c>
      <c r="J8" s="280"/>
      <c r="K8" s="262" t="s">
        <v>8</v>
      </c>
    </row>
    <row r="9" spans="1:11" s="10" customFormat="1" ht="17.399999999999999">
      <c r="A9" s="268"/>
      <c r="B9" s="11" t="s">
        <v>9</v>
      </c>
      <c r="C9" s="271"/>
      <c r="D9" s="274"/>
      <c r="E9" s="277"/>
      <c r="F9" s="278"/>
      <c r="G9" s="277"/>
      <c r="H9" s="278"/>
      <c r="I9" s="281"/>
      <c r="J9" s="282"/>
      <c r="K9" s="283"/>
    </row>
    <row r="10" spans="1:11" s="10" customFormat="1" ht="13.95" customHeight="1">
      <c r="A10" s="268"/>
      <c r="B10" s="12"/>
      <c r="C10" s="271"/>
      <c r="D10" s="284" t="s">
        <v>10</v>
      </c>
      <c r="E10" s="13" t="s">
        <v>11</v>
      </c>
      <c r="F10" s="262" t="s">
        <v>10</v>
      </c>
      <c r="G10" s="13" t="s">
        <v>11</v>
      </c>
      <c r="H10" s="262" t="s">
        <v>10</v>
      </c>
      <c r="I10" s="13" t="s">
        <v>11</v>
      </c>
      <c r="J10" s="262" t="s">
        <v>10</v>
      </c>
      <c r="K10" s="283"/>
    </row>
    <row r="11" spans="1:11" s="10" customFormat="1" ht="13.95" customHeight="1">
      <c r="A11" s="269"/>
      <c r="B11" s="14"/>
      <c r="C11" s="272"/>
      <c r="D11" s="285"/>
      <c r="E11" s="15" t="s">
        <v>12</v>
      </c>
      <c r="F11" s="263"/>
      <c r="G11" s="15" t="s">
        <v>12</v>
      </c>
      <c r="H11" s="263"/>
      <c r="I11" s="15" t="s">
        <v>12</v>
      </c>
      <c r="J11" s="263"/>
      <c r="K11" s="263"/>
    </row>
    <row r="12" spans="1:11" s="20" customFormat="1">
      <c r="A12" s="16">
        <v>1</v>
      </c>
      <c r="B12" s="17">
        <v>2</v>
      </c>
      <c r="C12" s="18">
        <v>3</v>
      </c>
      <c r="D12" s="17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</row>
    <row r="13" spans="1:11" s="20" customFormat="1" ht="27" customHeight="1">
      <c r="A13" s="49">
        <v>2</v>
      </c>
      <c r="B13" s="22" t="s">
        <v>563</v>
      </c>
      <c r="C13" s="26" t="s">
        <v>17</v>
      </c>
      <c r="D13" s="64">
        <v>1</v>
      </c>
      <c r="E13" s="218"/>
      <c r="F13" s="218"/>
      <c r="G13" s="218"/>
      <c r="H13" s="218"/>
      <c r="I13" s="218"/>
      <c r="J13" s="218"/>
      <c r="K13" s="218"/>
    </row>
    <row r="14" spans="1:11" s="20" customFormat="1" ht="17.55" customHeight="1">
      <c r="A14" s="49">
        <v>3</v>
      </c>
      <c r="B14" s="22" t="s">
        <v>564</v>
      </c>
      <c r="C14" s="26" t="s">
        <v>17</v>
      </c>
      <c r="D14" s="64">
        <v>1</v>
      </c>
      <c r="E14" s="218"/>
      <c r="F14" s="218"/>
      <c r="G14" s="218"/>
      <c r="H14" s="218"/>
      <c r="I14" s="218"/>
      <c r="J14" s="218"/>
      <c r="K14" s="218"/>
    </row>
    <row r="15" spans="1:11" s="20" customFormat="1" ht="17.55" customHeight="1">
      <c r="A15" s="49">
        <v>4</v>
      </c>
      <c r="B15" s="22" t="s">
        <v>565</v>
      </c>
      <c r="C15" s="26" t="s">
        <v>143</v>
      </c>
      <c r="D15" s="64">
        <v>1</v>
      </c>
      <c r="E15" s="218"/>
      <c r="F15" s="218"/>
      <c r="G15" s="218"/>
      <c r="H15" s="218"/>
      <c r="I15" s="218"/>
      <c r="J15" s="218"/>
      <c r="K15" s="218"/>
    </row>
    <row r="16" spans="1:11" s="20" customFormat="1" ht="17.55" customHeight="1">
      <c r="A16" s="49">
        <v>5</v>
      </c>
      <c r="B16" s="22" t="s">
        <v>566</v>
      </c>
      <c r="C16" s="26" t="s">
        <v>143</v>
      </c>
      <c r="D16" s="64">
        <v>1</v>
      </c>
      <c r="E16" s="218"/>
      <c r="F16" s="218"/>
      <c r="G16" s="218"/>
      <c r="H16" s="218"/>
      <c r="I16" s="218"/>
      <c r="J16" s="218"/>
      <c r="K16" s="218"/>
    </row>
    <row r="17" spans="1:11" s="20" customFormat="1" ht="13.8">
      <c r="A17" s="49">
        <v>6</v>
      </c>
      <c r="B17" s="22" t="s">
        <v>567</v>
      </c>
      <c r="C17" s="26" t="s">
        <v>143</v>
      </c>
      <c r="D17" s="64">
        <v>7</v>
      </c>
      <c r="E17" s="218"/>
      <c r="F17" s="218"/>
      <c r="G17" s="218"/>
      <c r="H17" s="218"/>
      <c r="I17" s="218"/>
      <c r="J17" s="218"/>
      <c r="K17" s="218"/>
    </row>
    <row r="18" spans="1:11" s="20" customFormat="1" ht="13.8">
      <c r="A18" s="252"/>
      <c r="B18" s="253"/>
      <c r="C18" s="254"/>
      <c r="D18" s="255"/>
      <c r="E18" s="256"/>
      <c r="F18" s="256"/>
      <c r="G18" s="256"/>
      <c r="H18" s="256"/>
      <c r="I18" s="256"/>
      <c r="J18" s="256"/>
      <c r="K18" s="256"/>
    </row>
    <row r="19" spans="1:11" s="33" customFormat="1" ht="31.2" customHeight="1">
      <c r="A19" s="27">
        <v>1</v>
      </c>
      <c r="B19" s="28" t="s">
        <v>20</v>
      </c>
      <c r="C19" s="21" t="s">
        <v>21</v>
      </c>
      <c r="D19" s="30">
        <v>28</v>
      </c>
      <c r="E19" s="31"/>
      <c r="F19" s="31"/>
      <c r="G19" s="31"/>
      <c r="H19" s="31"/>
      <c r="I19" s="31"/>
      <c r="J19" s="31"/>
      <c r="K19" s="219"/>
    </row>
    <row r="20" spans="1:11" s="39" customFormat="1" ht="13.8">
      <c r="A20" s="27"/>
      <c r="B20" s="34" t="s">
        <v>14</v>
      </c>
      <c r="C20" s="26" t="s">
        <v>21</v>
      </c>
      <c r="D20" s="36">
        <f>D19</f>
        <v>28</v>
      </c>
      <c r="E20" s="37"/>
      <c r="F20" s="38"/>
      <c r="G20" s="37"/>
      <c r="H20" s="38"/>
      <c r="I20" s="37"/>
      <c r="J20" s="38"/>
      <c r="K20" s="219"/>
    </row>
    <row r="21" spans="1:11" s="39" customFormat="1" ht="13.8">
      <c r="A21" s="27"/>
      <c r="B21" s="34" t="s">
        <v>16</v>
      </c>
      <c r="C21" s="25" t="s">
        <v>17</v>
      </c>
      <c r="D21" s="36">
        <f>D19</f>
        <v>28</v>
      </c>
      <c r="E21" s="37"/>
      <c r="F21" s="38"/>
      <c r="G21" s="37"/>
      <c r="H21" s="38"/>
      <c r="I21" s="37"/>
      <c r="J21" s="38"/>
      <c r="K21" s="219"/>
    </row>
    <row r="22" spans="1:11" s="39" customFormat="1" ht="13.8">
      <c r="A22" s="27"/>
      <c r="B22" s="34" t="s">
        <v>18</v>
      </c>
      <c r="C22" s="25"/>
      <c r="D22" s="36"/>
      <c r="E22" s="37"/>
      <c r="F22" s="38"/>
      <c r="G22" s="37"/>
      <c r="H22" s="38"/>
      <c r="I22" s="37"/>
      <c r="J22" s="38"/>
      <c r="K22" s="219"/>
    </row>
    <row r="23" spans="1:11" s="39" customFormat="1" ht="13.8">
      <c r="A23" s="27"/>
      <c r="B23" s="34" t="s">
        <v>22</v>
      </c>
      <c r="C23" s="26" t="s">
        <v>21</v>
      </c>
      <c r="D23" s="36">
        <f>D19*1.02</f>
        <v>28.560000000000002</v>
      </c>
      <c r="E23" s="37"/>
      <c r="F23" s="38"/>
      <c r="G23" s="37"/>
      <c r="H23" s="38"/>
      <c r="I23" s="37"/>
      <c r="J23" s="38"/>
      <c r="K23" s="219"/>
    </row>
    <row r="24" spans="1:11" s="39" customFormat="1" ht="13.8">
      <c r="A24" s="27"/>
      <c r="B24" s="34" t="s">
        <v>23</v>
      </c>
      <c r="C24" s="25" t="s">
        <v>24</v>
      </c>
      <c r="D24" s="36">
        <f>(925/1000*0.63)*1.03</f>
        <v>0.60023250000000006</v>
      </c>
      <c r="E24" s="37"/>
      <c r="F24" s="38"/>
      <c r="G24" s="37"/>
      <c r="H24" s="38"/>
      <c r="I24" s="37"/>
      <c r="J24" s="38"/>
      <c r="K24" s="219"/>
    </row>
    <row r="25" spans="1:11" s="39" customFormat="1" ht="13.8">
      <c r="A25" s="27"/>
      <c r="B25" s="34" t="s">
        <v>25</v>
      </c>
      <c r="C25" s="26" t="s">
        <v>21</v>
      </c>
      <c r="D25" s="36">
        <f>D19</f>
        <v>28</v>
      </c>
      <c r="E25" s="40"/>
      <c r="F25" s="38"/>
      <c r="G25" s="40"/>
      <c r="H25" s="38"/>
      <c r="I25" s="40"/>
      <c r="J25" s="38"/>
      <c r="K25" s="219"/>
    </row>
    <row r="26" spans="1:11" s="39" customFormat="1" ht="13.8">
      <c r="A26" s="27"/>
      <c r="B26" s="34" t="s">
        <v>26</v>
      </c>
      <c r="C26" s="25" t="s">
        <v>17</v>
      </c>
      <c r="D26" s="36">
        <f>D19</f>
        <v>28</v>
      </c>
      <c r="E26" s="37"/>
      <c r="F26" s="38"/>
      <c r="G26" s="37"/>
      <c r="H26" s="38"/>
      <c r="I26" s="37"/>
      <c r="J26" s="38"/>
      <c r="K26" s="219"/>
    </row>
    <row r="27" spans="1:11" s="33" customFormat="1" ht="27.6">
      <c r="A27" s="27">
        <f>A19+1</f>
        <v>2</v>
      </c>
      <c r="B27" s="28" t="s">
        <v>27</v>
      </c>
      <c r="C27" s="21" t="s">
        <v>21</v>
      </c>
      <c r="D27" s="30">
        <v>3</v>
      </c>
      <c r="E27" s="31"/>
      <c r="F27" s="31"/>
      <c r="G27" s="31"/>
      <c r="H27" s="31"/>
      <c r="I27" s="31"/>
      <c r="J27" s="31"/>
      <c r="K27" s="219"/>
    </row>
    <row r="28" spans="1:11" s="39" customFormat="1" ht="13.8">
      <c r="A28" s="27"/>
      <c r="B28" s="34" t="s">
        <v>14</v>
      </c>
      <c r="C28" s="26" t="s">
        <v>21</v>
      </c>
      <c r="D28" s="36">
        <f>D27</f>
        <v>3</v>
      </c>
      <c r="E28" s="37"/>
      <c r="F28" s="38"/>
      <c r="G28" s="37"/>
      <c r="H28" s="38"/>
      <c r="I28" s="37"/>
      <c r="J28" s="38"/>
      <c r="K28" s="219"/>
    </row>
    <row r="29" spans="1:11" s="39" customFormat="1" ht="13.8">
      <c r="A29" s="27"/>
      <c r="B29" s="34" t="s">
        <v>16</v>
      </c>
      <c r="C29" s="25" t="s">
        <v>17</v>
      </c>
      <c r="D29" s="36">
        <f>D27</f>
        <v>3</v>
      </c>
      <c r="E29" s="37"/>
      <c r="F29" s="38"/>
      <c r="G29" s="37"/>
      <c r="H29" s="38"/>
      <c r="I29" s="37"/>
      <c r="J29" s="38"/>
      <c r="K29" s="219"/>
    </row>
    <row r="30" spans="1:11" s="39" customFormat="1" ht="13.8">
      <c r="A30" s="27"/>
      <c r="B30" s="34" t="s">
        <v>18</v>
      </c>
      <c r="C30" s="25"/>
      <c r="D30" s="36"/>
      <c r="E30" s="37"/>
      <c r="F30" s="38"/>
      <c r="G30" s="37"/>
      <c r="H30" s="38"/>
      <c r="I30" s="37"/>
      <c r="J30" s="38"/>
      <c r="K30" s="219"/>
    </row>
    <row r="31" spans="1:11" s="39" customFormat="1" ht="13.8">
      <c r="A31" s="27"/>
      <c r="B31" s="34" t="s">
        <v>22</v>
      </c>
      <c r="C31" s="26" t="s">
        <v>21</v>
      </c>
      <c r="D31" s="36">
        <f>D27*1.02</f>
        <v>3.06</v>
      </c>
      <c r="E31" s="37"/>
      <c r="F31" s="38"/>
      <c r="G31" s="37"/>
      <c r="H31" s="38"/>
      <c r="I31" s="37"/>
      <c r="J31" s="38"/>
      <c r="K31" s="219"/>
    </row>
    <row r="32" spans="1:11" s="39" customFormat="1" ht="13.8">
      <c r="A32" s="27"/>
      <c r="B32" s="34" t="s">
        <v>23</v>
      </c>
      <c r="C32" s="25" t="s">
        <v>24</v>
      </c>
      <c r="D32" s="36">
        <f>(0.015)*1.03</f>
        <v>1.545E-2</v>
      </c>
      <c r="E32" s="37"/>
      <c r="F32" s="38"/>
      <c r="G32" s="37"/>
      <c r="H32" s="38"/>
      <c r="I32" s="37"/>
      <c r="J32" s="38"/>
      <c r="K32" s="219"/>
    </row>
    <row r="33" spans="1:11" s="39" customFormat="1" ht="13.8">
      <c r="A33" s="27"/>
      <c r="B33" s="34" t="s">
        <v>28</v>
      </c>
      <c r="C33" s="25" t="s">
        <v>24</v>
      </c>
      <c r="D33" s="36">
        <f>(0.025)*1.03</f>
        <v>2.5750000000000002E-2</v>
      </c>
      <c r="E33" s="38"/>
      <c r="F33" s="38"/>
      <c r="G33" s="37"/>
      <c r="H33" s="38"/>
      <c r="I33" s="37"/>
      <c r="J33" s="38"/>
      <c r="K33" s="219"/>
    </row>
    <row r="34" spans="1:11" s="39" customFormat="1" ht="13.8">
      <c r="A34" s="27"/>
      <c r="B34" s="34" t="s">
        <v>25</v>
      </c>
      <c r="C34" s="26" t="s">
        <v>21</v>
      </c>
      <c r="D34" s="36">
        <f>D27</f>
        <v>3</v>
      </c>
      <c r="E34" s="40"/>
      <c r="F34" s="38"/>
      <c r="G34" s="40"/>
      <c r="H34" s="38"/>
      <c r="I34" s="40"/>
      <c r="J34" s="38"/>
      <c r="K34" s="219"/>
    </row>
    <row r="35" spans="1:11" s="39" customFormat="1" ht="13.8">
      <c r="A35" s="27"/>
      <c r="B35" s="34" t="s">
        <v>26</v>
      </c>
      <c r="C35" s="25" t="s">
        <v>17</v>
      </c>
      <c r="D35" s="36">
        <f>D27</f>
        <v>3</v>
      </c>
      <c r="E35" s="37"/>
      <c r="F35" s="38"/>
      <c r="G35" s="37"/>
      <c r="H35" s="38"/>
      <c r="I35" s="37"/>
      <c r="J35" s="38"/>
      <c r="K35" s="219"/>
    </row>
    <row r="36" spans="1:11" s="33" customFormat="1" ht="27.6">
      <c r="A36" s="27">
        <f>A27+1</f>
        <v>3</v>
      </c>
      <c r="B36" s="28" t="s">
        <v>29</v>
      </c>
      <c r="C36" s="21" t="s">
        <v>21</v>
      </c>
      <c r="D36" s="30">
        <v>15</v>
      </c>
      <c r="E36" s="41"/>
      <c r="F36" s="31"/>
      <c r="G36" s="41"/>
      <c r="H36" s="31"/>
      <c r="I36" s="41"/>
      <c r="J36" s="31"/>
      <c r="K36" s="219"/>
    </row>
    <row r="37" spans="1:11" s="39" customFormat="1" ht="13.8">
      <c r="A37" s="27"/>
      <c r="B37" s="34" t="s">
        <v>14</v>
      </c>
      <c r="C37" s="26" t="s">
        <v>21</v>
      </c>
      <c r="D37" s="36">
        <f>D36</f>
        <v>15</v>
      </c>
      <c r="E37" s="37"/>
      <c r="F37" s="38"/>
      <c r="G37" s="37"/>
      <c r="H37" s="38"/>
      <c r="I37" s="37"/>
      <c r="J37" s="38"/>
      <c r="K37" s="219"/>
    </row>
    <row r="38" spans="1:11" s="39" customFormat="1" ht="13.8">
      <c r="A38" s="27"/>
      <c r="B38" s="34" t="s">
        <v>16</v>
      </c>
      <c r="C38" s="25" t="s">
        <v>17</v>
      </c>
      <c r="D38" s="36">
        <f>D36*0.92</f>
        <v>13.8</v>
      </c>
      <c r="E38" s="37"/>
      <c r="F38" s="38"/>
      <c r="G38" s="37"/>
      <c r="H38" s="38"/>
      <c r="I38" s="37"/>
      <c r="J38" s="38"/>
      <c r="K38" s="219"/>
    </row>
    <row r="39" spans="1:11" s="39" customFormat="1" ht="13.8">
      <c r="A39" s="27"/>
      <c r="B39" s="34" t="s">
        <v>18</v>
      </c>
      <c r="C39" s="25"/>
      <c r="D39" s="36"/>
      <c r="E39" s="37"/>
      <c r="F39" s="38"/>
      <c r="G39" s="37"/>
      <c r="H39" s="38"/>
      <c r="I39" s="37"/>
      <c r="J39" s="38"/>
      <c r="K39" s="219"/>
    </row>
    <row r="40" spans="1:11" s="39" customFormat="1" ht="13.8">
      <c r="A40" s="27"/>
      <c r="B40" s="34" t="s">
        <v>30</v>
      </c>
      <c r="C40" s="26" t="s">
        <v>31</v>
      </c>
      <c r="D40" s="36">
        <f>D36*64</f>
        <v>960</v>
      </c>
      <c r="E40" s="37"/>
      <c r="F40" s="38"/>
      <c r="G40" s="37"/>
      <c r="H40" s="38"/>
      <c r="I40" s="37"/>
      <c r="J40" s="38"/>
      <c r="K40" s="219"/>
    </row>
    <row r="41" spans="1:11" s="39" customFormat="1" ht="13.8">
      <c r="A41" s="27"/>
      <c r="B41" s="34" t="s">
        <v>32</v>
      </c>
      <c r="C41" s="26" t="s">
        <v>21</v>
      </c>
      <c r="D41" s="36">
        <f>D36*0.11</f>
        <v>1.65</v>
      </c>
      <c r="E41" s="37"/>
      <c r="F41" s="38"/>
      <c r="G41" s="37"/>
      <c r="H41" s="38"/>
      <c r="I41" s="37"/>
      <c r="J41" s="38"/>
      <c r="K41" s="219"/>
    </row>
    <row r="42" spans="1:11" s="39" customFormat="1" ht="13.8">
      <c r="A42" s="27"/>
      <c r="B42" s="34" t="s">
        <v>26</v>
      </c>
      <c r="C42" s="25" t="s">
        <v>17</v>
      </c>
      <c r="D42" s="36">
        <f>D36*0.16</f>
        <v>2.4</v>
      </c>
      <c r="E42" s="37"/>
      <c r="F42" s="38"/>
      <c r="G42" s="37"/>
      <c r="H42" s="38"/>
      <c r="I42" s="37"/>
      <c r="J42" s="38"/>
      <c r="K42" s="219"/>
    </row>
    <row r="43" spans="1:11" s="33" customFormat="1" ht="27.6">
      <c r="A43" s="27">
        <f>A36+1</f>
        <v>4</v>
      </c>
      <c r="B43" s="28" t="s">
        <v>33</v>
      </c>
      <c r="C43" s="21" t="s">
        <v>21</v>
      </c>
      <c r="D43" s="30">
        <v>7</v>
      </c>
      <c r="E43" s="31"/>
      <c r="F43" s="31"/>
      <c r="G43" s="31"/>
      <c r="H43" s="31"/>
      <c r="I43" s="31"/>
      <c r="J43" s="31"/>
      <c r="K43" s="219"/>
    </row>
    <row r="44" spans="1:11" s="39" customFormat="1" ht="13.8">
      <c r="A44" s="27"/>
      <c r="B44" s="34" t="s">
        <v>14</v>
      </c>
      <c r="C44" s="26" t="s">
        <v>21</v>
      </c>
      <c r="D44" s="36">
        <f>D43</f>
        <v>7</v>
      </c>
      <c r="E44" s="37"/>
      <c r="F44" s="38"/>
      <c r="G44" s="37"/>
      <c r="H44" s="38"/>
      <c r="I44" s="37"/>
      <c r="J44" s="38"/>
      <c r="K44" s="219"/>
    </row>
    <row r="45" spans="1:11" s="39" customFormat="1" ht="13.8">
      <c r="A45" s="27"/>
      <c r="B45" s="34" t="s">
        <v>16</v>
      </c>
      <c r="C45" s="25" t="s">
        <v>17</v>
      </c>
      <c r="D45" s="36">
        <f>D43</f>
        <v>7</v>
      </c>
      <c r="E45" s="37"/>
      <c r="F45" s="38"/>
      <c r="G45" s="37"/>
      <c r="H45" s="38"/>
      <c r="I45" s="37"/>
      <c r="J45" s="38"/>
      <c r="K45" s="219"/>
    </row>
    <row r="46" spans="1:11" s="39" customFormat="1" ht="13.8">
      <c r="A46" s="27"/>
      <c r="B46" s="34" t="s">
        <v>18</v>
      </c>
      <c r="C46" s="25"/>
      <c r="D46" s="36"/>
      <c r="E46" s="37"/>
      <c r="F46" s="38"/>
      <c r="G46" s="37"/>
      <c r="H46" s="38"/>
      <c r="I46" s="37"/>
      <c r="J46" s="38"/>
      <c r="K46" s="219"/>
    </row>
    <row r="47" spans="1:11" s="39" customFormat="1" ht="13.8">
      <c r="A47" s="27"/>
      <c r="B47" s="34" t="s">
        <v>22</v>
      </c>
      <c r="C47" s="26" t="s">
        <v>21</v>
      </c>
      <c r="D47" s="36">
        <f>D43*1.02</f>
        <v>7.1400000000000006</v>
      </c>
      <c r="E47" s="37"/>
      <c r="F47" s="38"/>
      <c r="G47" s="37"/>
      <c r="H47" s="38"/>
      <c r="I47" s="37"/>
      <c r="J47" s="38"/>
      <c r="K47" s="219"/>
    </row>
    <row r="48" spans="1:11" s="39" customFormat="1" ht="13.8">
      <c r="A48" s="27"/>
      <c r="B48" s="34" t="s">
        <v>23</v>
      </c>
      <c r="C48" s="25" t="s">
        <v>24</v>
      </c>
      <c r="D48" s="36">
        <f>0.08*1.03</f>
        <v>8.2400000000000001E-2</v>
      </c>
      <c r="E48" s="37"/>
      <c r="F48" s="38"/>
      <c r="G48" s="37"/>
      <c r="H48" s="38"/>
      <c r="I48" s="37"/>
      <c r="J48" s="38"/>
      <c r="K48" s="219"/>
    </row>
    <row r="49" spans="1:11" s="39" customFormat="1" ht="13.8">
      <c r="A49" s="27"/>
      <c r="B49" s="34" t="s">
        <v>28</v>
      </c>
      <c r="C49" s="25" t="s">
        <v>24</v>
      </c>
      <c r="D49" s="36">
        <f>0.22*1.03</f>
        <v>0.2266</v>
      </c>
      <c r="E49" s="38"/>
      <c r="F49" s="38"/>
      <c r="G49" s="37"/>
      <c r="H49" s="38"/>
      <c r="I49" s="37"/>
      <c r="J49" s="38"/>
      <c r="K49" s="219"/>
    </row>
    <row r="50" spans="1:11" s="39" customFormat="1" ht="13.8">
      <c r="A50" s="27"/>
      <c r="B50" s="34" t="s">
        <v>25</v>
      </c>
      <c r="C50" s="26" t="s">
        <v>21</v>
      </c>
      <c r="D50" s="36">
        <f>D43</f>
        <v>7</v>
      </c>
      <c r="E50" s="40"/>
      <c r="F50" s="38"/>
      <c r="G50" s="40"/>
      <c r="H50" s="38"/>
      <c r="I50" s="40"/>
      <c r="J50" s="38"/>
      <c r="K50" s="219"/>
    </row>
    <row r="51" spans="1:11" s="39" customFormat="1" ht="13.8">
      <c r="A51" s="42"/>
      <c r="B51" s="43" t="s">
        <v>26</v>
      </c>
      <c r="C51" s="44" t="s">
        <v>17</v>
      </c>
      <c r="D51" s="45">
        <f>D43</f>
        <v>7</v>
      </c>
      <c r="E51" s="46"/>
      <c r="F51" s="47"/>
      <c r="G51" s="46"/>
      <c r="H51" s="47"/>
      <c r="I51" s="46"/>
      <c r="J51" s="47"/>
      <c r="K51" s="219"/>
    </row>
    <row r="52" spans="1:11" s="33" customFormat="1" ht="13.8">
      <c r="A52" s="27">
        <f>A43+1</f>
        <v>5</v>
      </c>
      <c r="B52" s="236" t="s">
        <v>34</v>
      </c>
      <c r="C52" s="23" t="s">
        <v>13</v>
      </c>
      <c r="D52" s="30">
        <v>150</v>
      </c>
      <c r="E52" s="41"/>
      <c r="F52" s="31"/>
      <c r="G52" s="41"/>
      <c r="H52" s="31"/>
      <c r="I52" s="41"/>
      <c r="J52" s="31"/>
      <c r="K52" s="219"/>
    </row>
    <row r="53" spans="1:11" s="39" customFormat="1" ht="15">
      <c r="A53" s="27"/>
      <c r="B53" s="237" t="s">
        <v>14</v>
      </c>
      <c r="C53" s="25" t="s">
        <v>15</v>
      </c>
      <c r="D53" s="36">
        <f>D52</f>
        <v>150</v>
      </c>
      <c r="E53" s="37"/>
      <c r="F53" s="38"/>
      <c r="G53" s="37"/>
      <c r="H53" s="38"/>
      <c r="I53" s="37"/>
      <c r="J53" s="38"/>
      <c r="K53" s="219"/>
    </row>
    <row r="54" spans="1:11" s="39" customFormat="1" ht="15">
      <c r="A54" s="27"/>
      <c r="B54" s="237" t="s">
        <v>16</v>
      </c>
      <c r="C54" s="25" t="s">
        <v>17</v>
      </c>
      <c r="D54" s="36">
        <f>D52*0.041</f>
        <v>6.15</v>
      </c>
      <c r="E54" s="37"/>
      <c r="F54" s="38"/>
      <c r="G54" s="37"/>
      <c r="H54" s="38"/>
      <c r="I54" s="37"/>
      <c r="J54" s="38"/>
      <c r="K54" s="219"/>
    </row>
    <row r="55" spans="1:11" s="39" customFormat="1" ht="15">
      <c r="A55" s="27"/>
      <c r="B55" s="237" t="s">
        <v>18</v>
      </c>
      <c r="C55" s="25"/>
      <c r="D55" s="36"/>
      <c r="E55" s="37"/>
      <c r="F55" s="38"/>
      <c r="G55" s="37"/>
      <c r="H55" s="38"/>
      <c r="I55" s="37"/>
      <c r="J55" s="38"/>
      <c r="K55" s="219"/>
    </row>
    <row r="56" spans="1:11" s="50" customFormat="1" ht="15">
      <c r="A56" s="49"/>
      <c r="B56" s="237" t="s">
        <v>35</v>
      </c>
      <c r="C56" s="25" t="s">
        <v>15</v>
      </c>
      <c r="D56" s="36">
        <f>D52*1.05</f>
        <v>157.5</v>
      </c>
      <c r="E56" s="37"/>
      <c r="F56" s="38"/>
      <c r="G56" s="37"/>
      <c r="H56" s="38"/>
      <c r="I56" s="37"/>
      <c r="J56" s="38"/>
      <c r="K56" s="219"/>
    </row>
    <row r="57" spans="1:11" s="130" customFormat="1" ht="13.8">
      <c r="A57" s="49"/>
      <c r="B57" s="34" t="s">
        <v>147</v>
      </c>
      <c r="C57" s="26" t="s">
        <v>21</v>
      </c>
      <c r="D57" s="36">
        <f>1*1.1</f>
        <v>1.1000000000000001</v>
      </c>
      <c r="E57" s="37"/>
      <c r="F57" s="38"/>
      <c r="G57" s="37"/>
      <c r="H57" s="38"/>
      <c r="I57" s="37"/>
      <c r="J57" s="38"/>
      <c r="K57" s="219"/>
    </row>
    <row r="58" spans="1:11" s="39" customFormat="1" ht="15">
      <c r="A58" s="27"/>
      <c r="B58" s="237" t="s">
        <v>36</v>
      </c>
      <c r="C58" s="25" t="s">
        <v>31</v>
      </c>
      <c r="D58" s="36">
        <f>D52*6</f>
        <v>900</v>
      </c>
      <c r="E58" s="37"/>
      <c r="F58" s="38"/>
      <c r="G58" s="37"/>
      <c r="H58" s="38"/>
      <c r="I58" s="37"/>
      <c r="J58" s="38"/>
      <c r="K58" s="219"/>
    </row>
    <row r="59" spans="1:11" s="39" customFormat="1" ht="15">
      <c r="A59" s="27"/>
      <c r="B59" s="237" t="s">
        <v>26</v>
      </c>
      <c r="C59" s="25" t="s">
        <v>17</v>
      </c>
      <c r="D59" s="36">
        <f>D52*0.078</f>
        <v>11.7</v>
      </c>
      <c r="E59" s="37"/>
      <c r="F59" s="38"/>
      <c r="G59" s="37"/>
      <c r="H59" s="38"/>
      <c r="I59" s="37"/>
      <c r="J59" s="38"/>
      <c r="K59" s="219"/>
    </row>
    <row r="60" spans="1:11" s="33" customFormat="1" ht="13.8">
      <c r="A60" s="51">
        <f>A52+1</f>
        <v>6</v>
      </c>
      <c r="B60" s="52" t="s">
        <v>109</v>
      </c>
      <c r="C60" s="238" t="s">
        <v>21</v>
      </c>
      <c r="D60" s="125">
        <v>513.10199999999998</v>
      </c>
      <c r="E60" s="54"/>
      <c r="F60" s="55"/>
      <c r="G60" s="54"/>
      <c r="H60" s="55"/>
      <c r="I60" s="54"/>
      <c r="J60" s="55"/>
      <c r="K60" s="219"/>
    </row>
    <row r="61" spans="1:11" s="39" customFormat="1" ht="13.8">
      <c r="A61" s="27"/>
      <c r="B61" s="34" t="s">
        <v>14</v>
      </c>
      <c r="C61" s="26" t="s">
        <v>21</v>
      </c>
      <c r="D61" s="36">
        <f>D60</f>
        <v>513.10199999999998</v>
      </c>
      <c r="E61" s="37"/>
      <c r="F61" s="38"/>
      <c r="G61" s="37"/>
      <c r="H61" s="38"/>
      <c r="I61" s="37"/>
      <c r="J61" s="38"/>
      <c r="K61" s="219"/>
    </row>
    <row r="62" spans="1:11" s="39" customFormat="1" ht="13.8">
      <c r="A62" s="27"/>
      <c r="B62" s="34" t="s">
        <v>16</v>
      </c>
      <c r="C62" s="25" t="s">
        <v>17</v>
      </c>
      <c r="D62" s="36">
        <f>D60*0.92</f>
        <v>472.05383999999998</v>
      </c>
      <c r="E62" s="37"/>
      <c r="F62" s="38"/>
      <c r="G62" s="37"/>
      <c r="H62" s="38"/>
      <c r="I62" s="37"/>
      <c r="J62" s="38"/>
      <c r="K62" s="219"/>
    </row>
    <row r="63" spans="1:11" s="39" customFormat="1" ht="13.8">
      <c r="A63" s="27"/>
      <c r="B63" s="34" t="s">
        <v>18</v>
      </c>
      <c r="C63" s="25"/>
      <c r="D63" s="36"/>
      <c r="E63" s="37"/>
      <c r="F63" s="38"/>
      <c r="G63" s="37"/>
      <c r="H63" s="38"/>
      <c r="I63" s="37"/>
      <c r="J63" s="38"/>
      <c r="K63" s="219"/>
    </row>
    <row r="64" spans="1:11" s="39" customFormat="1" ht="13.8">
      <c r="A64" s="27"/>
      <c r="B64" s="34" t="s">
        <v>148</v>
      </c>
      <c r="C64" s="26" t="s">
        <v>31</v>
      </c>
      <c r="D64" s="36">
        <f>D60*44</f>
        <v>22576.487999999998</v>
      </c>
      <c r="E64" s="37"/>
      <c r="F64" s="38"/>
      <c r="G64" s="37"/>
      <c r="H64" s="38"/>
      <c r="I64" s="37"/>
      <c r="J64" s="38"/>
      <c r="K64" s="219"/>
    </row>
    <row r="65" spans="1:11" s="39" customFormat="1" ht="13.8">
      <c r="A65" s="27"/>
      <c r="B65" s="34" t="s">
        <v>32</v>
      </c>
      <c r="C65" s="26" t="s">
        <v>21</v>
      </c>
      <c r="D65" s="36">
        <f>D60*0.11</f>
        <v>56.441219999999994</v>
      </c>
      <c r="E65" s="37"/>
      <c r="F65" s="38"/>
      <c r="G65" s="37"/>
      <c r="H65" s="38"/>
      <c r="I65" s="37"/>
      <c r="J65" s="38"/>
      <c r="K65" s="219"/>
    </row>
    <row r="66" spans="1:11" s="39" customFormat="1" ht="13.8">
      <c r="A66" s="27"/>
      <c r="B66" s="34" t="s">
        <v>26</v>
      </c>
      <c r="C66" s="25" t="s">
        <v>17</v>
      </c>
      <c r="D66" s="36">
        <f>D60*0.16</f>
        <v>82.096319999999992</v>
      </c>
      <c r="E66" s="37"/>
      <c r="F66" s="38"/>
      <c r="G66" s="37"/>
      <c r="H66" s="38"/>
      <c r="I66" s="37"/>
      <c r="J66" s="38"/>
      <c r="K66" s="219"/>
    </row>
    <row r="67" spans="1:11" s="33" customFormat="1" ht="27.6">
      <c r="A67" s="27">
        <f>A60+1</f>
        <v>7</v>
      </c>
      <c r="B67" s="28" t="s">
        <v>546</v>
      </c>
      <c r="C67" s="23" t="s">
        <v>13</v>
      </c>
      <c r="D67" s="30">
        <v>1850</v>
      </c>
      <c r="E67" s="41"/>
      <c r="F67" s="31"/>
      <c r="G67" s="41"/>
      <c r="H67" s="31"/>
      <c r="I67" s="41"/>
      <c r="J67" s="31"/>
      <c r="K67" s="219"/>
    </row>
    <row r="68" spans="1:11" s="39" customFormat="1" ht="13.8">
      <c r="A68" s="27"/>
      <c r="B68" s="34" t="s">
        <v>14</v>
      </c>
      <c r="C68" s="25" t="s">
        <v>15</v>
      </c>
      <c r="D68" s="36">
        <f>D67+D157+D161</f>
        <v>2288</v>
      </c>
      <c r="E68" s="37"/>
      <c r="F68" s="38"/>
      <c r="G68" s="37"/>
      <c r="H68" s="38"/>
      <c r="I68" s="37"/>
      <c r="J68" s="38"/>
      <c r="K68" s="219"/>
    </row>
    <row r="69" spans="1:11" s="39" customFormat="1" ht="13.8">
      <c r="A69" s="27"/>
      <c r="B69" s="34" t="s">
        <v>16</v>
      </c>
      <c r="C69" s="25" t="s">
        <v>17</v>
      </c>
      <c r="D69" s="36">
        <f>D67*0.07</f>
        <v>129.5</v>
      </c>
      <c r="E69" s="37"/>
      <c r="F69" s="38"/>
      <c r="G69" s="37"/>
      <c r="H69" s="220"/>
      <c r="I69" s="37"/>
      <c r="J69" s="38"/>
      <c r="K69" s="219"/>
    </row>
    <row r="70" spans="1:11" s="39" customFormat="1" ht="13.8">
      <c r="A70" s="27"/>
      <c r="B70" s="34" t="s">
        <v>18</v>
      </c>
      <c r="C70" s="25"/>
      <c r="D70" s="36"/>
      <c r="E70" s="37"/>
      <c r="F70" s="38"/>
      <c r="G70" s="37"/>
      <c r="H70" s="38"/>
      <c r="I70" s="37"/>
      <c r="J70" s="38"/>
      <c r="K70" s="219"/>
    </row>
    <row r="71" spans="1:11" s="39" customFormat="1" ht="13.8">
      <c r="A71" s="27"/>
      <c r="B71" s="34" t="s">
        <v>38</v>
      </c>
      <c r="C71" s="26" t="s">
        <v>21</v>
      </c>
      <c r="D71" s="36">
        <f>D67*0.05</f>
        <v>92.5</v>
      </c>
      <c r="E71" s="37"/>
      <c r="F71" s="38"/>
      <c r="G71" s="37"/>
      <c r="H71" s="38"/>
      <c r="I71" s="37"/>
      <c r="J71" s="38"/>
      <c r="K71" s="219"/>
    </row>
    <row r="72" spans="1:11" s="39" customFormat="1" ht="13.8">
      <c r="A72" s="27"/>
      <c r="B72" s="34" t="s">
        <v>547</v>
      </c>
      <c r="C72" s="25" t="s">
        <v>15</v>
      </c>
      <c r="D72" s="36">
        <f>550</f>
        <v>550</v>
      </c>
      <c r="E72" s="37"/>
      <c r="F72" s="38"/>
      <c r="G72" s="37"/>
      <c r="H72" s="38"/>
      <c r="I72" s="37"/>
      <c r="J72" s="38"/>
      <c r="K72" s="219"/>
    </row>
    <row r="73" spans="1:11" s="39" customFormat="1" ht="13.8">
      <c r="A73" s="27"/>
      <c r="B73" s="34" t="s">
        <v>26</v>
      </c>
      <c r="C73" s="25" t="s">
        <v>17</v>
      </c>
      <c r="D73" s="36">
        <f>D67*0.2</f>
        <v>370</v>
      </c>
      <c r="E73" s="37"/>
      <c r="F73" s="38"/>
      <c r="G73" s="37"/>
      <c r="H73" s="38"/>
      <c r="I73" s="37"/>
      <c r="J73" s="38"/>
      <c r="K73" s="219"/>
    </row>
    <row r="74" spans="1:11" s="33" customFormat="1" ht="13.8">
      <c r="A74" s="27">
        <f>A67+1</f>
        <v>8</v>
      </c>
      <c r="B74" s="28" t="s">
        <v>553</v>
      </c>
      <c r="C74" s="23" t="s">
        <v>65</v>
      </c>
      <c r="D74" s="30">
        <v>117</v>
      </c>
      <c r="E74" s="41"/>
      <c r="F74" s="31"/>
      <c r="G74" s="41"/>
      <c r="H74" s="31"/>
      <c r="I74" s="41"/>
      <c r="J74" s="31"/>
      <c r="K74" s="219"/>
    </row>
    <row r="75" spans="1:11" s="39" customFormat="1" ht="13.8">
      <c r="A75" s="27"/>
      <c r="B75" s="34" t="s">
        <v>14</v>
      </c>
      <c r="C75" s="25" t="s">
        <v>65</v>
      </c>
      <c r="D75" s="36">
        <f>D74+D164+D168</f>
        <v>125.07</v>
      </c>
      <c r="E75" s="37"/>
      <c r="F75" s="38"/>
      <c r="G75" s="37"/>
      <c r="H75" s="38"/>
      <c r="I75" s="37"/>
      <c r="J75" s="38"/>
      <c r="K75" s="219"/>
    </row>
    <row r="76" spans="1:11" s="39" customFormat="1" ht="13.8">
      <c r="A76" s="27"/>
      <c r="B76" s="34" t="s">
        <v>16</v>
      </c>
      <c r="C76" s="25" t="s">
        <v>17</v>
      </c>
      <c r="D76" s="36">
        <f>D74*0.07</f>
        <v>8.1900000000000013</v>
      </c>
      <c r="E76" s="37"/>
      <c r="F76" s="38"/>
      <c r="G76" s="37"/>
      <c r="H76" s="220"/>
      <c r="I76" s="37"/>
      <c r="J76" s="38"/>
      <c r="K76" s="219"/>
    </row>
    <row r="77" spans="1:11" s="39" customFormat="1" ht="13.8">
      <c r="A77" s="27"/>
      <c r="B77" s="34" t="s">
        <v>18</v>
      </c>
      <c r="C77" s="25"/>
      <c r="D77" s="36"/>
      <c r="E77" s="37"/>
      <c r="F77" s="38"/>
      <c r="G77" s="37"/>
      <c r="H77" s="38"/>
      <c r="I77" s="37"/>
      <c r="J77" s="38"/>
      <c r="K77" s="219"/>
    </row>
    <row r="78" spans="1:11" s="39" customFormat="1" ht="13.8">
      <c r="A78" s="27"/>
      <c r="B78" s="34" t="s">
        <v>38</v>
      </c>
      <c r="C78" s="26" t="s">
        <v>21</v>
      </c>
      <c r="D78" s="36">
        <f>D74*0.08</f>
        <v>9.36</v>
      </c>
      <c r="E78" s="37"/>
      <c r="F78" s="38"/>
      <c r="G78" s="37"/>
      <c r="H78" s="38"/>
      <c r="I78" s="37"/>
      <c r="J78" s="38"/>
      <c r="K78" s="219"/>
    </row>
    <row r="79" spans="1:11" s="39" customFormat="1" ht="13.8">
      <c r="A79" s="27"/>
      <c r="B79" s="34" t="s">
        <v>547</v>
      </c>
      <c r="C79" s="25" t="s">
        <v>15</v>
      </c>
      <c r="D79" s="36">
        <v>60</v>
      </c>
      <c r="E79" s="37"/>
      <c r="F79" s="38"/>
      <c r="G79" s="37"/>
      <c r="H79" s="38"/>
      <c r="I79" s="37"/>
      <c r="J79" s="38"/>
      <c r="K79" s="219"/>
    </row>
    <row r="80" spans="1:11" s="39" customFormat="1" ht="13.8">
      <c r="A80" s="27"/>
      <c r="B80" s="34" t="s">
        <v>554</v>
      </c>
      <c r="C80" s="25" t="s">
        <v>19</v>
      </c>
      <c r="D80" s="36">
        <f>D74*3</f>
        <v>351</v>
      </c>
      <c r="E80" s="37"/>
      <c r="F80" s="38"/>
      <c r="G80" s="37"/>
      <c r="H80" s="38"/>
      <c r="I80" s="37"/>
      <c r="J80" s="38"/>
      <c r="K80" s="219"/>
    </row>
    <row r="81" spans="1:11" s="39" customFormat="1" ht="13.8">
      <c r="A81" s="27"/>
      <c r="B81" s="34" t="s">
        <v>26</v>
      </c>
      <c r="C81" s="25" t="s">
        <v>17</v>
      </c>
      <c r="D81" s="36">
        <f>D74*0.2</f>
        <v>23.400000000000002</v>
      </c>
      <c r="E81" s="37"/>
      <c r="F81" s="38"/>
      <c r="G81" s="37"/>
      <c r="H81" s="38"/>
      <c r="I81" s="37"/>
      <c r="J81" s="38"/>
      <c r="K81" s="219"/>
    </row>
    <row r="82" spans="1:11" s="33" customFormat="1" ht="31.5" customHeight="1">
      <c r="A82" s="27">
        <f>A67+1</f>
        <v>8</v>
      </c>
      <c r="B82" s="28" t="s">
        <v>110</v>
      </c>
      <c r="C82" s="23" t="s">
        <v>13</v>
      </c>
      <c r="D82" s="30">
        <f>D67</f>
        <v>1850</v>
      </c>
      <c r="E82" s="41"/>
      <c r="F82" s="31"/>
      <c r="G82" s="41"/>
      <c r="H82" s="31"/>
      <c r="I82" s="41"/>
      <c r="J82" s="31"/>
      <c r="K82" s="221"/>
    </row>
    <row r="83" spans="1:11" s="39" customFormat="1" ht="13.8">
      <c r="A83" s="27"/>
      <c r="B83" s="34" t="s">
        <v>14</v>
      </c>
      <c r="C83" s="25" t="s">
        <v>15</v>
      </c>
      <c r="D83" s="36">
        <f>D68</f>
        <v>2288</v>
      </c>
      <c r="E83" s="37"/>
      <c r="F83" s="38"/>
      <c r="G83" s="37"/>
      <c r="H83" s="38"/>
      <c r="I83" s="37"/>
      <c r="J83" s="38"/>
      <c r="K83" s="219"/>
    </row>
    <row r="84" spans="1:11" s="39" customFormat="1" ht="13.8">
      <c r="A84" s="27"/>
      <c r="B84" s="34" t="s">
        <v>16</v>
      </c>
      <c r="C84" s="25" t="s">
        <v>17</v>
      </c>
      <c r="D84" s="36">
        <f>D82*0.1</f>
        <v>185</v>
      </c>
      <c r="E84" s="37"/>
      <c r="F84" s="38"/>
      <c r="G84" s="37"/>
      <c r="H84" s="38"/>
      <c r="I84" s="37"/>
      <c r="J84" s="38"/>
      <c r="K84" s="219"/>
    </row>
    <row r="85" spans="1:11" s="39" customFormat="1" ht="13.8">
      <c r="A85" s="27"/>
      <c r="B85" s="34" t="s">
        <v>18</v>
      </c>
      <c r="C85" s="25"/>
      <c r="D85" s="36"/>
      <c r="E85" s="37"/>
      <c r="F85" s="38"/>
      <c r="G85" s="37"/>
      <c r="H85" s="38"/>
      <c r="I85" s="37"/>
      <c r="J85" s="38"/>
      <c r="K85" s="219"/>
    </row>
    <row r="86" spans="1:11" s="39" customFormat="1" ht="13.8">
      <c r="A86" s="27"/>
      <c r="B86" s="34" t="s">
        <v>111</v>
      </c>
      <c r="C86" s="26" t="s">
        <v>112</v>
      </c>
      <c r="D86" s="36">
        <f>D82*0.2</f>
        <v>370</v>
      </c>
      <c r="E86" s="37"/>
      <c r="F86" s="38"/>
      <c r="G86" s="37"/>
      <c r="H86" s="38"/>
      <c r="I86" s="37"/>
      <c r="J86" s="38"/>
      <c r="K86" s="219"/>
    </row>
    <row r="87" spans="1:11" s="39" customFormat="1" ht="13.8">
      <c r="A87" s="27"/>
      <c r="B87" s="34" t="s">
        <v>113</v>
      </c>
      <c r="C87" s="25" t="s">
        <v>19</v>
      </c>
      <c r="D87" s="36">
        <f>D82*4.5</f>
        <v>8325</v>
      </c>
      <c r="E87" s="37"/>
      <c r="F87" s="38"/>
      <c r="G87" s="37"/>
      <c r="H87" s="38"/>
      <c r="I87" s="37"/>
      <c r="J87" s="38"/>
      <c r="K87" s="219"/>
    </row>
    <row r="88" spans="1:11" s="39" customFormat="1" ht="13.8">
      <c r="A88" s="27"/>
      <c r="B88" s="34" t="s">
        <v>114</v>
      </c>
      <c r="C88" s="25" t="s">
        <v>65</v>
      </c>
      <c r="D88" s="36">
        <f>D82*0.3</f>
        <v>555</v>
      </c>
      <c r="E88" s="37"/>
      <c r="F88" s="38"/>
      <c r="G88" s="37"/>
      <c r="H88" s="38"/>
      <c r="I88" s="37"/>
      <c r="J88" s="38"/>
      <c r="K88" s="219"/>
    </row>
    <row r="89" spans="1:11" s="39" customFormat="1" ht="13.8">
      <c r="A89" s="27"/>
      <c r="B89" s="34" t="s">
        <v>115</v>
      </c>
      <c r="C89" s="25" t="s">
        <v>15</v>
      </c>
      <c r="D89" s="36">
        <f>D82*1.1</f>
        <v>2035.0000000000002</v>
      </c>
      <c r="E89" s="37"/>
      <c r="F89" s="38"/>
      <c r="G89" s="37"/>
      <c r="H89" s="38"/>
      <c r="I89" s="37"/>
      <c r="J89" s="38"/>
      <c r="K89" s="219"/>
    </row>
    <row r="90" spans="1:11" s="39" customFormat="1" ht="13.8">
      <c r="A90" s="27"/>
      <c r="B90" s="34" t="s">
        <v>116</v>
      </c>
      <c r="C90" s="25" t="s">
        <v>19</v>
      </c>
      <c r="D90" s="36">
        <f>D82*0.25</f>
        <v>462.5</v>
      </c>
      <c r="E90" s="37"/>
      <c r="F90" s="38"/>
      <c r="G90" s="37"/>
      <c r="H90" s="38"/>
      <c r="I90" s="37"/>
      <c r="J90" s="38"/>
      <c r="K90" s="219"/>
    </row>
    <row r="91" spans="1:11" s="39" customFormat="1" ht="13.8">
      <c r="A91" s="27"/>
      <c r="B91" s="34" t="s">
        <v>117</v>
      </c>
      <c r="C91" s="25" t="s">
        <v>19</v>
      </c>
      <c r="D91" s="36">
        <f>D82*4</f>
        <v>7400</v>
      </c>
      <c r="E91" s="37"/>
      <c r="F91" s="38"/>
      <c r="G91" s="37"/>
      <c r="H91" s="38"/>
      <c r="I91" s="37"/>
      <c r="J91" s="38"/>
      <c r="K91" s="219"/>
    </row>
    <row r="92" spans="1:11" s="39" customFormat="1" ht="13.8">
      <c r="A92" s="27"/>
      <c r="B92" s="34" t="s">
        <v>118</v>
      </c>
      <c r="C92" s="25" t="s">
        <v>112</v>
      </c>
      <c r="D92" s="36">
        <f>D82*0.5</f>
        <v>925</v>
      </c>
      <c r="E92" s="37"/>
      <c r="F92" s="38"/>
      <c r="G92" s="37"/>
      <c r="H92" s="38"/>
      <c r="I92" s="37"/>
      <c r="J92" s="38"/>
      <c r="K92" s="219"/>
    </row>
    <row r="93" spans="1:11" s="39" customFormat="1" ht="13.8">
      <c r="A93" s="27"/>
      <c r="B93" s="34" t="s">
        <v>26</v>
      </c>
      <c r="C93" s="25" t="s">
        <v>17</v>
      </c>
      <c r="D93" s="36">
        <f>D82*0.4</f>
        <v>740</v>
      </c>
      <c r="E93" s="37"/>
      <c r="F93" s="38"/>
      <c r="G93" s="37"/>
      <c r="H93" s="38"/>
      <c r="I93" s="37"/>
      <c r="J93" s="38"/>
      <c r="K93" s="219"/>
    </row>
    <row r="94" spans="1:11" s="33" customFormat="1" ht="27.6">
      <c r="A94" s="27">
        <f>A82+1</f>
        <v>9</v>
      </c>
      <c r="B94" s="28" t="s">
        <v>41</v>
      </c>
      <c r="C94" s="23" t="s">
        <v>13</v>
      </c>
      <c r="D94" s="30">
        <f>3226+80</f>
        <v>3306</v>
      </c>
      <c r="E94" s="41"/>
      <c r="F94" s="31"/>
      <c r="G94" s="41"/>
      <c r="H94" s="57"/>
      <c r="I94" s="41"/>
      <c r="J94" s="31"/>
      <c r="K94" s="219"/>
    </row>
    <row r="95" spans="1:11" s="39" customFormat="1" ht="13.8">
      <c r="A95" s="27"/>
      <c r="B95" s="34" t="s">
        <v>14</v>
      </c>
      <c r="C95" s="25" t="s">
        <v>15</v>
      </c>
      <c r="D95" s="36">
        <f>D94</f>
        <v>3306</v>
      </c>
      <c r="E95" s="37"/>
      <c r="F95" s="38"/>
      <c r="G95" s="37"/>
      <c r="H95" s="38"/>
      <c r="I95" s="37"/>
      <c r="J95" s="38"/>
      <c r="K95" s="219"/>
    </row>
    <row r="96" spans="1:11" s="39" customFormat="1" ht="13.8">
      <c r="A96" s="27"/>
      <c r="B96" s="34" t="s">
        <v>16</v>
      </c>
      <c r="C96" s="25" t="s">
        <v>17</v>
      </c>
      <c r="D96" s="36">
        <f>D94*0.1</f>
        <v>330.6</v>
      </c>
      <c r="E96" s="37"/>
      <c r="F96" s="38"/>
      <c r="G96" s="37"/>
      <c r="H96" s="58"/>
      <c r="I96" s="37"/>
      <c r="J96" s="38"/>
      <c r="K96" s="219"/>
    </row>
    <row r="97" spans="1:11" s="39" customFormat="1" ht="13.8">
      <c r="A97" s="27"/>
      <c r="B97" s="34" t="s">
        <v>18</v>
      </c>
      <c r="C97" s="25"/>
      <c r="D97" s="36"/>
      <c r="E97" s="37"/>
      <c r="F97" s="38"/>
      <c r="G97" s="37"/>
      <c r="H97" s="58"/>
      <c r="I97" s="37"/>
      <c r="J97" s="38"/>
      <c r="K97" s="219"/>
    </row>
    <row r="98" spans="1:11" s="39" customFormat="1" ht="13.8">
      <c r="A98" s="27"/>
      <c r="B98" s="34" t="s">
        <v>42</v>
      </c>
      <c r="C98" s="26" t="s">
        <v>21</v>
      </c>
      <c r="D98" s="36">
        <f>D94*0.06</f>
        <v>198.35999999999999</v>
      </c>
      <c r="E98" s="37"/>
      <c r="F98" s="38"/>
      <c r="G98" s="37"/>
      <c r="H98" s="58"/>
      <c r="I98" s="37"/>
      <c r="J98" s="38"/>
      <c r="K98" s="219"/>
    </row>
    <row r="99" spans="1:11" s="39" customFormat="1" ht="13.8">
      <c r="A99" s="27"/>
      <c r="B99" s="34" t="s">
        <v>43</v>
      </c>
      <c r="C99" s="26" t="s">
        <v>21</v>
      </c>
      <c r="D99" s="36">
        <f>D94*0.05*1.25</f>
        <v>206.625</v>
      </c>
      <c r="E99" s="37"/>
      <c r="F99" s="38"/>
      <c r="G99" s="37"/>
      <c r="H99" s="38"/>
      <c r="I99" s="37"/>
      <c r="J99" s="38"/>
      <c r="K99" s="219"/>
    </row>
    <row r="100" spans="1:11" s="39" customFormat="1" ht="13.8">
      <c r="A100" s="27"/>
      <c r="B100" s="34" t="s">
        <v>26</v>
      </c>
      <c r="C100" s="25" t="s">
        <v>17</v>
      </c>
      <c r="D100" s="36">
        <f>D94*0.0636</f>
        <v>210.26160000000002</v>
      </c>
      <c r="E100" s="37"/>
      <c r="F100" s="38"/>
      <c r="G100" s="37"/>
      <c r="H100" s="38"/>
      <c r="I100" s="37"/>
      <c r="J100" s="38"/>
      <c r="K100" s="219"/>
    </row>
    <row r="101" spans="1:11" s="66" customFormat="1" ht="13.8">
      <c r="A101" s="21">
        <f>A94+1</f>
        <v>10</v>
      </c>
      <c r="B101" s="22" t="s">
        <v>119</v>
      </c>
      <c r="C101" s="21" t="s">
        <v>75</v>
      </c>
      <c r="D101" s="64">
        <v>545</v>
      </c>
      <c r="E101" s="65"/>
      <c r="F101" s="65"/>
      <c r="G101" s="65"/>
      <c r="H101" s="65"/>
      <c r="I101" s="65"/>
      <c r="J101" s="65"/>
      <c r="K101" s="65"/>
    </row>
    <row r="102" spans="1:11" s="67" customFormat="1" ht="13.8">
      <c r="A102" s="21"/>
      <c r="B102" s="24" t="s">
        <v>76</v>
      </c>
      <c r="C102" s="26" t="str">
        <f>C101</f>
        <v>მ²</v>
      </c>
      <c r="D102" s="61">
        <f>D101</f>
        <v>545</v>
      </c>
      <c r="E102" s="62"/>
      <c r="F102" s="62"/>
      <c r="G102" s="62"/>
      <c r="H102" s="62"/>
      <c r="I102" s="62"/>
      <c r="J102" s="62"/>
      <c r="K102" s="62"/>
    </row>
    <row r="103" spans="1:11" s="67" customFormat="1" ht="13.8">
      <c r="A103" s="21"/>
      <c r="B103" s="24" t="s">
        <v>16</v>
      </c>
      <c r="C103" s="26" t="s">
        <v>17</v>
      </c>
      <c r="D103" s="61">
        <f>D101*0.08</f>
        <v>43.6</v>
      </c>
      <c r="E103" s="62"/>
      <c r="F103" s="62"/>
      <c r="G103" s="62"/>
      <c r="H103" s="62"/>
      <c r="I103" s="62"/>
      <c r="J103" s="62"/>
      <c r="K103" s="62"/>
    </row>
    <row r="104" spans="1:11" s="67" customFormat="1" ht="13.8">
      <c r="A104" s="21"/>
      <c r="B104" s="24" t="s">
        <v>72</v>
      </c>
      <c r="C104" s="26"/>
      <c r="D104" s="61"/>
      <c r="E104" s="62"/>
      <c r="F104" s="62"/>
      <c r="G104" s="62"/>
      <c r="H104" s="62"/>
      <c r="I104" s="62"/>
      <c r="J104" s="62"/>
      <c r="K104" s="62"/>
    </row>
    <row r="105" spans="1:11" s="67" customFormat="1" ht="13.8">
      <c r="A105" s="21"/>
      <c r="B105" s="24" t="s">
        <v>77</v>
      </c>
      <c r="C105" s="26" t="str">
        <f>C101</f>
        <v>მ²</v>
      </c>
      <c r="D105" s="61">
        <f>D101*1.05</f>
        <v>572.25</v>
      </c>
      <c r="E105" s="62"/>
      <c r="F105" s="62"/>
      <c r="G105" s="62"/>
      <c r="H105" s="62"/>
      <c r="I105" s="62"/>
      <c r="J105" s="62"/>
      <c r="K105" s="62"/>
    </row>
    <row r="106" spans="1:11" s="67" customFormat="1" ht="13.8">
      <c r="A106" s="21"/>
      <c r="B106" s="24" t="s">
        <v>78</v>
      </c>
      <c r="C106" s="26" t="s">
        <v>19</v>
      </c>
      <c r="D106" s="61">
        <f>D101*8</f>
        <v>4360</v>
      </c>
      <c r="E106" s="62"/>
      <c r="F106" s="62"/>
      <c r="G106" s="62"/>
      <c r="H106" s="62"/>
      <c r="I106" s="62"/>
      <c r="J106" s="62"/>
      <c r="K106" s="62"/>
    </row>
    <row r="107" spans="1:11" s="67" customFormat="1" ht="13.8">
      <c r="A107" s="21"/>
      <c r="B107" s="24" t="s">
        <v>26</v>
      </c>
      <c r="C107" s="26" t="s">
        <v>17</v>
      </c>
      <c r="D107" s="61">
        <f>D101*0.8</f>
        <v>436</v>
      </c>
      <c r="E107" s="62"/>
      <c r="F107" s="62"/>
      <c r="G107" s="62"/>
      <c r="H107" s="62"/>
      <c r="I107" s="62"/>
      <c r="J107" s="62"/>
      <c r="K107" s="62"/>
    </row>
    <row r="108" spans="1:11" s="66" customFormat="1" ht="13.8">
      <c r="A108" s="21">
        <f>A101+1</f>
        <v>11</v>
      </c>
      <c r="B108" s="22" t="s">
        <v>120</v>
      </c>
      <c r="C108" s="21" t="s">
        <v>75</v>
      </c>
      <c r="D108" s="64">
        <v>195</v>
      </c>
      <c r="E108" s="65"/>
      <c r="F108" s="65"/>
      <c r="G108" s="65"/>
      <c r="H108" s="65"/>
      <c r="I108" s="65"/>
      <c r="J108" s="65"/>
      <c r="K108" s="65"/>
    </row>
    <row r="109" spans="1:11" s="67" customFormat="1" ht="13.8">
      <c r="A109" s="21"/>
      <c r="B109" s="24" t="s">
        <v>76</v>
      </c>
      <c r="C109" s="26" t="str">
        <f>C108</f>
        <v>მ²</v>
      </c>
      <c r="D109" s="61">
        <f>D108</f>
        <v>195</v>
      </c>
      <c r="E109" s="62"/>
      <c r="F109" s="62"/>
      <c r="G109" s="62"/>
      <c r="H109" s="62"/>
      <c r="I109" s="62"/>
      <c r="J109" s="62"/>
      <c r="K109" s="62"/>
    </row>
    <row r="110" spans="1:11" s="67" customFormat="1" ht="13.8">
      <c r="A110" s="21"/>
      <c r="B110" s="24" t="s">
        <v>16</v>
      </c>
      <c r="C110" s="26" t="s">
        <v>17</v>
      </c>
      <c r="D110" s="61">
        <f>D108*0.036</f>
        <v>7.02</v>
      </c>
      <c r="E110" s="62"/>
      <c r="F110" s="62"/>
      <c r="G110" s="62"/>
      <c r="H110" s="62"/>
      <c r="I110" s="62"/>
      <c r="J110" s="62"/>
      <c r="K110" s="62"/>
    </row>
    <row r="111" spans="1:11" s="67" customFormat="1" ht="13.8">
      <c r="A111" s="21"/>
      <c r="B111" s="24" t="s">
        <v>72</v>
      </c>
      <c r="C111" s="26"/>
      <c r="D111" s="61"/>
      <c r="E111" s="62"/>
      <c r="F111" s="62"/>
      <c r="G111" s="62"/>
      <c r="H111" s="62"/>
      <c r="I111" s="62"/>
      <c r="J111" s="62"/>
      <c r="K111" s="62"/>
    </row>
    <row r="112" spans="1:11" s="67" customFormat="1" ht="13.8">
      <c r="A112" s="21"/>
      <c r="B112" s="24" t="s">
        <v>77</v>
      </c>
      <c r="C112" s="26" t="str">
        <f>C108</f>
        <v>მ²</v>
      </c>
      <c r="D112" s="61">
        <f>D108*1.05</f>
        <v>204.75</v>
      </c>
      <c r="E112" s="62"/>
      <c r="F112" s="62"/>
      <c r="G112" s="62"/>
      <c r="H112" s="62"/>
      <c r="I112" s="62"/>
      <c r="J112" s="62"/>
      <c r="K112" s="62"/>
    </row>
    <row r="113" spans="1:11" s="67" customFormat="1" ht="13.8">
      <c r="A113" s="21"/>
      <c r="B113" s="24" t="s">
        <v>78</v>
      </c>
      <c r="C113" s="26" t="s">
        <v>19</v>
      </c>
      <c r="D113" s="61">
        <f>D108*12</f>
        <v>2340</v>
      </c>
      <c r="E113" s="62"/>
      <c r="F113" s="62"/>
      <c r="G113" s="62"/>
      <c r="H113" s="62"/>
      <c r="I113" s="62"/>
      <c r="J113" s="62"/>
      <c r="K113" s="62"/>
    </row>
    <row r="114" spans="1:11" s="67" customFormat="1" ht="13.8">
      <c r="A114" s="21"/>
      <c r="B114" s="24" t="s">
        <v>26</v>
      </c>
      <c r="C114" s="26" t="s">
        <v>17</v>
      </c>
      <c r="D114" s="61">
        <f>D108*3</f>
        <v>585</v>
      </c>
      <c r="E114" s="62"/>
      <c r="F114" s="62"/>
      <c r="G114" s="62"/>
      <c r="H114" s="62"/>
      <c r="I114" s="62"/>
      <c r="J114" s="62"/>
      <c r="K114" s="62"/>
    </row>
    <row r="115" spans="1:11" s="33" customFormat="1" ht="27.6">
      <c r="A115" s="27">
        <f>A108+1</f>
        <v>12</v>
      </c>
      <c r="B115" s="28" t="s">
        <v>50</v>
      </c>
      <c r="C115" s="23" t="s">
        <v>13</v>
      </c>
      <c r="D115" s="30">
        <v>204</v>
      </c>
      <c r="E115" s="41"/>
      <c r="F115" s="31"/>
      <c r="G115" s="41"/>
      <c r="H115" s="31"/>
      <c r="I115" s="41"/>
      <c r="J115" s="31"/>
      <c r="K115" s="219"/>
    </row>
    <row r="116" spans="1:11" s="39" customFormat="1" ht="13.8">
      <c r="A116" s="27"/>
      <c r="B116" s="34" t="s">
        <v>14</v>
      </c>
      <c r="C116" s="25" t="s">
        <v>15</v>
      </c>
      <c r="D116" s="36">
        <f>D115</f>
        <v>204</v>
      </c>
      <c r="E116" s="37"/>
      <c r="F116" s="38"/>
      <c r="G116" s="37"/>
      <c r="H116" s="38"/>
      <c r="I116" s="37"/>
      <c r="J116" s="38"/>
      <c r="K116" s="219"/>
    </row>
    <row r="117" spans="1:11" s="39" customFormat="1" ht="13.8">
      <c r="A117" s="27"/>
      <c r="B117" s="34" t="s">
        <v>16</v>
      </c>
      <c r="C117" s="25" t="s">
        <v>17</v>
      </c>
      <c r="D117" s="36">
        <f>D115*0.01</f>
        <v>2.04</v>
      </c>
      <c r="E117" s="37"/>
      <c r="F117" s="38"/>
      <c r="G117" s="37"/>
      <c r="H117" s="38"/>
      <c r="I117" s="37"/>
      <c r="J117" s="38"/>
      <c r="K117" s="219"/>
    </row>
    <row r="118" spans="1:11" s="39" customFormat="1" ht="13.8">
      <c r="A118" s="27"/>
      <c r="B118" s="34" t="s">
        <v>18</v>
      </c>
      <c r="C118" s="25"/>
      <c r="D118" s="36"/>
      <c r="E118" s="37"/>
      <c r="F118" s="38"/>
      <c r="G118" s="37"/>
      <c r="H118" s="38"/>
      <c r="I118" s="37"/>
      <c r="J118" s="38"/>
      <c r="K118" s="219"/>
    </row>
    <row r="119" spans="1:11" s="39" customFormat="1" ht="13.8">
      <c r="A119" s="27"/>
      <c r="B119" s="34" t="s">
        <v>51</v>
      </c>
      <c r="C119" s="25" t="s">
        <v>15</v>
      </c>
      <c r="D119" s="36">
        <f>D115*1.05</f>
        <v>214.20000000000002</v>
      </c>
      <c r="E119" s="37"/>
      <c r="F119" s="38"/>
      <c r="G119" s="37"/>
      <c r="H119" s="38"/>
      <c r="I119" s="37"/>
      <c r="J119" s="38"/>
      <c r="K119" s="219"/>
    </row>
    <row r="120" spans="1:11" s="39" customFormat="1" ht="13.8">
      <c r="A120" s="27"/>
      <c r="B120" s="34" t="s">
        <v>52</v>
      </c>
      <c r="C120" s="25" t="s">
        <v>19</v>
      </c>
      <c r="D120" s="36">
        <f>D115*0.35</f>
        <v>71.399999999999991</v>
      </c>
      <c r="E120" s="37"/>
      <c r="F120" s="38"/>
      <c r="G120" s="37"/>
      <c r="H120" s="38"/>
      <c r="I120" s="37"/>
      <c r="J120" s="38"/>
      <c r="K120" s="219"/>
    </row>
    <row r="121" spans="1:11" s="39" customFormat="1" ht="13.8">
      <c r="A121" s="27"/>
      <c r="B121" s="34" t="s">
        <v>53</v>
      </c>
      <c r="C121" s="25" t="s">
        <v>19</v>
      </c>
      <c r="D121" s="36">
        <f>D115*0.05</f>
        <v>10.200000000000001</v>
      </c>
      <c r="E121" s="37"/>
      <c r="F121" s="38"/>
      <c r="G121" s="37"/>
      <c r="H121" s="38"/>
      <c r="I121" s="37"/>
      <c r="J121" s="38"/>
      <c r="K121" s="219"/>
    </row>
    <row r="122" spans="1:11" s="66" customFormat="1" ht="20.25" customHeight="1">
      <c r="A122" s="21">
        <f>A115+1</f>
        <v>13</v>
      </c>
      <c r="B122" s="21" t="s">
        <v>121</v>
      </c>
      <c r="C122" s="21" t="s">
        <v>75</v>
      </c>
      <c r="D122" s="64">
        <v>204</v>
      </c>
      <c r="E122" s="222"/>
      <c r="F122" s="222"/>
      <c r="G122" s="222"/>
      <c r="H122" s="222"/>
      <c r="I122" s="222"/>
      <c r="J122" s="222"/>
      <c r="K122" s="222"/>
    </row>
    <row r="123" spans="1:11" s="67" customFormat="1" ht="13.8">
      <c r="A123" s="21"/>
      <c r="B123" s="24" t="s">
        <v>76</v>
      </c>
      <c r="C123" s="26" t="str">
        <f>C122</f>
        <v>მ²</v>
      </c>
      <c r="D123" s="61">
        <f>D122</f>
        <v>204</v>
      </c>
      <c r="E123" s="62"/>
      <c r="F123" s="62"/>
      <c r="G123" s="62"/>
      <c r="H123" s="62"/>
      <c r="I123" s="62"/>
      <c r="J123" s="62"/>
      <c r="K123" s="62"/>
    </row>
    <row r="124" spans="1:11" s="67" customFormat="1" ht="13.8">
      <c r="A124" s="21"/>
      <c r="B124" s="24" t="s">
        <v>16</v>
      </c>
      <c r="C124" s="26" t="s">
        <v>17</v>
      </c>
      <c r="D124" s="61">
        <f>D122*0.08</f>
        <v>16.32</v>
      </c>
      <c r="E124" s="62"/>
      <c r="F124" s="62"/>
      <c r="G124" s="62"/>
      <c r="H124" s="62"/>
      <c r="I124" s="62"/>
      <c r="J124" s="62"/>
      <c r="K124" s="62"/>
    </row>
    <row r="125" spans="1:11" s="67" customFormat="1" ht="13.8">
      <c r="A125" s="21"/>
      <c r="B125" s="24" t="s">
        <v>72</v>
      </c>
      <c r="C125" s="26"/>
      <c r="D125" s="61"/>
      <c r="E125" s="62"/>
      <c r="F125" s="62"/>
      <c r="G125" s="62"/>
      <c r="H125" s="62"/>
      <c r="I125" s="62"/>
      <c r="J125" s="62"/>
      <c r="K125" s="62"/>
    </row>
    <row r="126" spans="1:11" s="67" customFormat="1" ht="13.8">
      <c r="A126" s="21"/>
      <c r="B126" s="24" t="s">
        <v>77</v>
      </c>
      <c r="C126" s="26" t="str">
        <f>C122</f>
        <v>მ²</v>
      </c>
      <c r="D126" s="61">
        <f>D122*1.05</f>
        <v>214.20000000000002</v>
      </c>
      <c r="E126" s="62"/>
      <c r="F126" s="62"/>
      <c r="G126" s="62"/>
      <c r="H126" s="62"/>
      <c r="I126" s="62"/>
      <c r="J126" s="62"/>
      <c r="K126" s="62"/>
    </row>
    <row r="127" spans="1:11" s="67" customFormat="1" ht="13.8">
      <c r="A127" s="21"/>
      <c r="B127" s="24" t="s">
        <v>78</v>
      </c>
      <c r="C127" s="26" t="s">
        <v>19</v>
      </c>
      <c r="D127" s="61">
        <f>D122*8</f>
        <v>1632</v>
      </c>
      <c r="E127" s="62"/>
      <c r="F127" s="62"/>
      <c r="G127" s="62"/>
      <c r="H127" s="62"/>
      <c r="I127" s="62"/>
      <c r="J127" s="62"/>
      <c r="K127" s="62"/>
    </row>
    <row r="128" spans="1:11" s="67" customFormat="1" ht="13.8">
      <c r="A128" s="21"/>
      <c r="B128" s="24" t="s">
        <v>26</v>
      </c>
      <c r="C128" s="26" t="s">
        <v>17</v>
      </c>
      <c r="D128" s="61">
        <f>D122*0.8</f>
        <v>163.20000000000002</v>
      </c>
      <c r="E128" s="62"/>
      <c r="F128" s="62"/>
      <c r="G128" s="62"/>
      <c r="H128" s="62"/>
      <c r="I128" s="62"/>
      <c r="J128" s="62"/>
      <c r="K128" s="62"/>
    </row>
    <row r="129" spans="1:11" s="66" customFormat="1" ht="20.25" customHeight="1">
      <c r="A129" s="21">
        <f>A122+1</f>
        <v>14</v>
      </c>
      <c r="B129" s="22" t="s">
        <v>133</v>
      </c>
      <c r="C129" s="21" t="s">
        <v>75</v>
      </c>
      <c r="D129" s="64">
        <v>560</v>
      </c>
      <c r="E129" s="65"/>
      <c r="F129" s="65"/>
      <c r="G129" s="65"/>
      <c r="H129" s="65"/>
      <c r="I129" s="65"/>
      <c r="J129" s="65"/>
      <c r="K129" s="65"/>
    </row>
    <row r="130" spans="1:11" s="67" customFormat="1" ht="13.8">
      <c r="A130" s="21"/>
      <c r="B130" s="24" t="s">
        <v>76</v>
      </c>
      <c r="C130" s="26" t="str">
        <f>C129</f>
        <v>მ²</v>
      </c>
      <c r="D130" s="61">
        <f>D129</f>
        <v>560</v>
      </c>
      <c r="E130" s="62"/>
      <c r="F130" s="62"/>
      <c r="G130" s="62"/>
      <c r="H130" s="62"/>
      <c r="I130" s="62"/>
      <c r="J130" s="62"/>
      <c r="K130" s="62"/>
    </row>
    <row r="131" spans="1:11" s="67" customFormat="1" ht="13.8">
      <c r="A131" s="21"/>
      <c r="B131" s="24" t="s">
        <v>16</v>
      </c>
      <c r="C131" s="26" t="s">
        <v>17</v>
      </c>
      <c r="D131" s="61">
        <f>D129*0.036</f>
        <v>20.16</v>
      </c>
      <c r="E131" s="62"/>
      <c r="F131" s="62"/>
      <c r="G131" s="62"/>
      <c r="H131" s="62"/>
      <c r="I131" s="62"/>
      <c r="J131" s="62"/>
      <c r="K131" s="62"/>
    </row>
    <row r="132" spans="1:11" s="67" customFormat="1" ht="13.8">
      <c r="A132" s="21"/>
      <c r="B132" s="24" t="s">
        <v>72</v>
      </c>
      <c r="C132" s="26"/>
      <c r="D132" s="61"/>
      <c r="E132" s="62"/>
      <c r="F132" s="62"/>
      <c r="G132" s="62"/>
      <c r="H132" s="62"/>
      <c r="I132" s="62"/>
      <c r="J132" s="62"/>
      <c r="K132" s="62"/>
    </row>
    <row r="133" spans="1:11" s="67" customFormat="1" ht="13.8">
      <c r="A133" s="21"/>
      <c r="B133" s="24" t="s">
        <v>77</v>
      </c>
      <c r="C133" s="26" t="str">
        <f>C129</f>
        <v>მ²</v>
      </c>
      <c r="D133" s="61">
        <f>D129*1.05</f>
        <v>588</v>
      </c>
      <c r="E133" s="62"/>
      <c r="F133" s="62"/>
      <c r="G133" s="62"/>
      <c r="H133" s="62"/>
      <c r="I133" s="62"/>
      <c r="J133" s="62"/>
      <c r="K133" s="62"/>
    </row>
    <row r="134" spans="1:11" s="67" customFormat="1" ht="13.8">
      <c r="A134" s="21"/>
      <c r="B134" s="24" t="s">
        <v>78</v>
      </c>
      <c r="C134" s="26" t="s">
        <v>19</v>
      </c>
      <c r="D134" s="61">
        <f>D129*8</f>
        <v>4480</v>
      </c>
      <c r="E134" s="62"/>
      <c r="F134" s="62"/>
      <c r="G134" s="62"/>
      <c r="H134" s="62"/>
      <c r="I134" s="62"/>
      <c r="J134" s="62"/>
      <c r="K134" s="62"/>
    </row>
    <row r="135" spans="1:11" s="67" customFormat="1" ht="13.8">
      <c r="A135" s="21"/>
      <c r="B135" s="24" t="s">
        <v>26</v>
      </c>
      <c r="C135" s="26" t="s">
        <v>17</v>
      </c>
      <c r="D135" s="61">
        <f>D129*0.8</f>
        <v>448</v>
      </c>
      <c r="E135" s="62"/>
      <c r="F135" s="62"/>
      <c r="G135" s="62"/>
      <c r="H135" s="62"/>
      <c r="I135" s="62"/>
      <c r="J135" s="62"/>
      <c r="K135" s="62"/>
    </row>
    <row r="136" spans="1:11" s="66" customFormat="1" ht="20.25" customHeight="1">
      <c r="A136" s="21">
        <f>A129+1</f>
        <v>15</v>
      </c>
      <c r="B136" s="22" t="s">
        <v>137</v>
      </c>
      <c r="C136" s="21" t="s">
        <v>75</v>
      </c>
      <c r="D136" s="64">
        <f>2397+50</f>
        <v>2447</v>
      </c>
      <c r="E136" s="65"/>
      <c r="F136" s="65"/>
      <c r="G136" s="65"/>
      <c r="H136" s="65"/>
      <c r="I136" s="65"/>
      <c r="J136" s="65"/>
      <c r="K136" s="65"/>
    </row>
    <row r="137" spans="1:11" s="67" customFormat="1" ht="13.8">
      <c r="A137" s="21"/>
      <c r="B137" s="24" t="s">
        <v>76</v>
      </c>
      <c r="C137" s="26" t="str">
        <f>C136</f>
        <v>მ²</v>
      </c>
      <c r="D137" s="61">
        <f>D136</f>
        <v>2447</v>
      </c>
      <c r="E137" s="62"/>
      <c r="F137" s="62"/>
      <c r="G137" s="62"/>
      <c r="H137" s="62"/>
      <c r="I137" s="62"/>
      <c r="J137" s="62"/>
      <c r="K137" s="62"/>
    </row>
    <row r="138" spans="1:11" s="67" customFormat="1" ht="13.8">
      <c r="A138" s="21"/>
      <c r="B138" s="24" t="s">
        <v>16</v>
      </c>
      <c r="C138" s="26" t="s">
        <v>17</v>
      </c>
      <c r="D138" s="61">
        <f>D136*0.036</f>
        <v>88.091999999999999</v>
      </c>
      <c r="E138" s="62"/>
      <c r="F138" s="62"/>
      <c r="G138" s="62"/>
      <c r="H138" s="62"/>
      <c r="I138" s="62"/>
      <c r="J138" s="62"/>
      <c r="K138" s="62"/>
    </row>
    <row r="139" spans="1:11" s="67" customFormat="1" ht="13.8">
      <c r="A139" s="21"/>
      <c r="B139" s="24" t="s">
        <v>72</v>
      </c>
      <c r="C139" s="26"/>
      <c r="D139" s="61"/>
      <c r="E139" s="62"/>
      <c r="F139" s="62"/>
      <c r="G139" s="62"/>
      <c r="H139" s="62"/>
      <c r="I139" s="62"/>
      <c r="J139" s="62"/>
      <c r="K139" s="62"/>
    </row>
    <row r="140" spans="1:11" s="67" customFormat="1" ht="13.8">
      <c r="A140" s="21"/>
      <c r="B140" s="24" t="s">
        <v>139</v>
      </c>
      <c r="C140" s="26" t="str">
        <f>C136</f>
        <v>მ²</v>
      </c>
      <c r="D140" s="61">
        <f>D136*1.05</f>
        <v>2569.35</v>
      </c>
      <c r="E140" s="62"/>
      <c r="F140" s="62"/>
      <c r="G140" s="62"/>
      <c r="H140" s="62"/>
      <c r="I140" s="62"/>
      <c r="J140" s="62"/>
      <c r="K140" s="62"/>
    </row>
    <row r="141" spans="1:11" s="67" customFormat="1" ht="13.8">
      <c r="A141" s="21"/>
      <c r="B141" s="24" t="s">
        <v>138</v>
      </c>
      <c r="C141" s="26" t="str">
        <f>C137</f>
        <v>მ²</v>
      </c>
      <c r="D141" s="61">
        <f>D136*1.05</f>
        <v>2569.35</v>
      </c>
      <c r="E141" s="62"/>
      <c r="F141" s="62"/>
      <c r="G141" s="62"/>
      <c r="H141" s="62"/>
      <c r="I141" s="62"/>
      <c r="J141" s="62"/>
      <c r="K141" s="62"/>
    </row>
    <row r="142" spans="1:11" s="67" customFormat="1" ht="13.8">
      <c r="A142" s="21"/>
      <c r="B142" s="24" t="s">
        <v>26</v>
      </c>
      <c r="C142" s="26" t="s">
        <v>17</v>
      </c>
      <c r="D142" s="61">
        <f>D136*0.083</f>
        <v>203.101</v>
      </c>
      <c r="E142" s="62"/>
      <c r="F142" s="62"/>
      <c r="G142" s="62"/>
      <c r="H142" s="62"/>
      <c r="I142" s="62"/>
      <c r="J142" s="62"/>
      <c r="K142" s="62"/>
    </row>
    <row r="143" spans="1:11" s="66" customFormat="1" ht="20.25" customHeight="1">
      <c r="A143" s="21">
        <f>A129+1</f>
        <v>15</v>
      </c>
      <c r="B143" s="22" t="s">
        <v>134</v>
      </c>
      <c r="C143" s="21" t="s">
        <v>75</v>
      </c>
      <c r="D143" s="64">
        <v>195</v>
      </c>
      <c r="E143" s="65"/>
      <c r="F143" s="65"/>
      <c r="G143" s="65"/>
      <c r="H143" s="65"/>
      <c r="I143" s="65"/>
      <c r="J143" s="65"/>
      <c r="K143" s="65"/>
    </row>
    <row r="144" spans="1:11" s="67" customFormat="1" ht="13.8">
      <c r="A144" s="21"/>
      <c r="B144" s="24" t="s">
        <v>76</v>
      </c>
      <c r="C144" s="26" t="str">
        <f>C143</f>
        <v>მ²</v>
      </c>
      <c r="D144" s="61">
        <f>D143</f>
        <v>195</v>
      </c>
      <c r="E144" s="62"/>
      <c r="F144" s="62"/>
      <c r="G144" s="62"/>
      <c r="H144" s="62"/>
      <c r="I144" s="62"/>
      <c r="J144" s="62"/>
      <c r="K144" s="62"/>
    </row>
    <row r="145" spans="1:11" s="67" customFormat="1" ht="13.8">
      <c r="A145" s="21"/>
      <c r="B145" s="24" t="s">
        <v>16</v>
      </c>
      <c r="C145" s="26" t="s">
        <v>17</v>
      </c>
      <c r="D145" s="61">
        <f>D143*0.036</f>
        <v>7.02</v>
      </c>
      <c r="E145" s="62"/>
      <c r="F145" s="62"/>
      <c r="G145" s="62"/>
      <c r="H145" s="62"/>
      <c r="I145" s="62"/>
      <c r="J145" s="62"/>
      <c r="K145" s="62"/>
    </row>
    <row r="146" spans="1:11" s="67" customFormat="1" ht="13.8">
      <c r="A146" s="21"/>
      <c r="B146" s="24" t="s">
        <v>72</v>
      </c>
      <c r="C146" s="26"/>
      <c r="D146" s="61"/>
      <c r="E146" s="62"/>
      <c r="F146" s="62"/>
      <c r="G146" s="62"/>
      <c r="H146" s="62"/>
      <c r="I146" s="62"/>
      <c r="J146" s="62"/>
      <c r="K146" s="62"/>
    </row>
    <row r="147" spans="1:11" s="67" customFormat="1" ht="13.8">
      <c r="A147" s="21"/>
      <c r="B147" s="24" t="s">
        <v>149</v>
      </c>
      <c r="C147" s="26" t="str">
        <f>C143</f>
        <v>მ²</v>
      </c>
      <c r="D147" s="61">
        <f>D143*1.05</f>
        <v>204.75</v>
      </c>
      <c r="E147" s="62"/>
      <c r="F147" s="62"/>
      <c r="G147" s="62"/>
      <c r="H147" s="62"/>
      <c r="I147" s="62"/>
      <c r="J147" s="62"/>
      <c r="K147" s="62"/>
    </row>
    <row r="148" spans="1:11" s="67" customFormat="1" ht="13.8">
      <c r="A148" s="21"/>
      <c r="B148" s="24" t="s">
        <v>32</v>
      </c>
      <c r="C148" s="26" t="s">
        <v>71</v>
      </c>
      <c r="D148" s="61">
        <f>D143*0.07</f>
        <v>13.650000000000002</v>
      </c>
      <c r="E148" s="62"/>
      <c r="F148" s="62"/>
      <c r="G148" s="62"/>
      <c r="H148" s="62"/>
      <c r="I148" s="62"/>
      <c r="J148" s="62"/>
      <c r="K148" s="62"/>
    </row>
    <row r="149" spans="1:11" s="67" customFormat="1" ht="13.8">
      <c r="A149" s="21"/>
      <c r="B149" s="24" t="s">
        <v>26</v>
      </c>
      <c r="C149" s="26" t="s">
        <v>17</v>
      </c>
      <c r="D149" s="61">
        <f>D143*0.8</f>
        <v>156</v>
      </c>
      <c r="E149" s="62"/>
      <c r="F149" s="62"/>
      <c r="G149" s="62"/>
      <c r="H149" s="62"/>
      <c r="I149" s="62"/>
      <c r="J149" s="62"/>
      <c r="K149" s="62"/>
    </row>
    <row r="150" spans="1:11" s="66" customFormat="1" ht="20.25" customHeight="1">
      <c r="A150" s="21">
        <f>A143+1</f>
        <v>16</v>
      </c>
      <c r="B150" s="22" t="s">
        <v>136</v>
      </c>
      <c r="C150" s="21" t="s">
        <v>75</v>
      </c>
      <c r="D150" s="64">
        <v>115</v>
      </c>
      <c r="E150" s="65"/>
      <c r="F150" s="65"/>
      <c r="G150" s="65"/>
      <c r="H150" s="65"/>
      <c r="I150" s="65"/>
      <c r="J150" s="65"/>
      <c r="K150" s="65"/>
    </row>
    <row r="151" spans="1:11" s="67" customFormat="1" ht="13.8">
      <c r="A151" s="21"/>
      <c r="B151" s="24" t="s">
        <v>76</v>
      </c>
      <c r="C151" s="26" t="str">
        <f>C150</f>
        <v>მ²</v>
      </c>
      <c r="D151" s="61">
        <f>D150</f>
        <v>115</v>
      </c>
      <c r="E151" s="62"/>
      <c r="F151" s="62"/>
      <c r="G151" s="62"/>
      <c r="H151" s="62"/>
      <c r="I151" s="62"/>
      <c r="J151" s="62"/>
      <c r="K151" s="62"/>
    </row>
    <row r="152" spans="1:11" s="67" customFormat="1" ht="13.8">
      <c r="A152" s="21"/>
      <c r="B152" s="24" t="s">
        <v>16</v>
      </c>
      <c r="C152" s="26" t="s">
        <v>17</v>
      </c>
      <c r="D152" s="61">
        <f>D150*0.036</f>
        <v>4.1399999999999997</v>
      </c>
      <c r="E152" s="62"/>
      <c r="F152" s="62"/>
      <c r="G152" s="62"/>
      <c r="H152" s="62"/>
      <c r="I152" s="62"/>
      <c r="J152" s="62"/>
      <c r="K152" s="62"/>
    </row>
    <row r="153" spans="1:11" s="67" customFormat="1" ht="13.8">
      <c r="A153" s="21"/>
      <c r="B153" s="24" t="s">
        <v>72</v>
      </c>
      <c r="C153" s="26"/>
      <c r="D153" s="61"/>
      <c r="E153" s="62"/>
      <c r="F153" s="62"/>
      <c r="G153" s="62"/>
      <c r="H153" s="62"/>
      <c r="I153" s="62"/>
      <c r="J153" s="62"/>
      <c r="K153" s="62"/>
    </row>
    <row r="154" spans="1:11" s="67" customFormat="1" ht="13.8">
      <c r="A154" s="21"/>
      <c r="B154" s="24" t="s">
        <v>149</v>
      </c>
      <c r="C154" s="26" t="str">
        <f>C150</f>
        <v>მ²</v>
      </c>
      <c r="D154" s="61">
        <f>D150*1.05</f>
        <v>120.75</v>
      </c>
      <c r="E154" s="62"/>
      <c r="F154" s="62"/>
      <c r="G154" s="62"/>
      <c r="H154" s="62"/>
      <c r="I154" s="62"/>
      <c r="J154" s="62"/>
      <c r="K154" s="62"/>
    </row>
    <row r="155" spans="1:11" s="67" customFormat="1" ht="13.8">
      <c r="A155" s="21"/>
      <c r="B155" s="24" t="s">
        <v>32</v>
      </c>
      <c r="C155" s="26" t="s">
        <v>71</v>
      </c>
      <c r="D155" s="61">
        <f>D150*0.1</f>
        <v>11.5</v>
      </c>
      <c r="E155" s="62"/>
      <c r="F155" s="62"/>
      <c r="G155" s="62"/>
      <c r="H155" s="62"/>
      <c r="I155" s="62"/>
      <c r="J155" s="62"/>
      <c r="K155" s="62"/>
    </row>
    <row r="156" spans="1:11" s="67" customFormat="1" ht="13.8">
      <c r="A156" s="21"/>
      <c r="B156" s="24" t="s">
        <v>26</v>
      </c>
      <c r="C156" s="26" t="s">
        <v>17</v>
      </c>
      <c r="D156" s="61">
        <f>D150*0.8</f>
        <v>92</v>
      </c>
      <c r="E156" s="62"/>
      <c r="F156" s="62"/>
      <c r="G156" s="62"/>
      <c r="H156" s="62"/>
      <c r="I156" s="62"/>
      <c r="J156" s="62"/>
      <c r="K156" s="62"/>
    </row>
    <row r="157" spans="1:11" s="33" customFormat="1" ht="13.8">
      <c r="A157" s="27">
        <f>A94+1</f>
        <v>10</v>
      </c>
      <c r="B157" s="28" t="s">
        <v>44</v>
      </c>
      <c r="C157" s="23" t="s">
        <v>13</v>
      </c>
      <c r="D157" s="30">
        <v>196</v>
      </c>
      <c r="E157" s="41"/>
      <c r="F157" s="31"/>
      <c r="G157" s="41"/>
      <c r="H157" s="31"/>
      <c r="I157" s="41"/>
      <c r="J157" s="31"/>
      <c r="K157" s="219"/>
    </row>
    <row r="158" spans="1:11" s="39" customFormat="1" ht="13.8">
      <c r="A158" s="27"/>
      <c r="B158" s="34" t="s">
        <v>14</v>
      </c>
      <c r="C158" s="25" t="s">
        <v>15</v>
      </c>
      <c r="D158" s="36">
        <f>D157</f>
        <v>196</v>
      </c>
      <c r="E158" s="37"/>
      <c r="F158" s="38"/>
      <c r="G158" s="37"/>
      <c r="H158" s="38"/>
      <c r="I158" s="37"/>
      <c r="J158" s="38"/>
      <c r="K158" s="219"/>
    </row>
    <row r="159" spans="1:11" s="39" customFormat="1" ht="13.8">
      <c r="A159" s="27"/>
      <c r="B159" s="34" t="s">
        <v>18</v>
      </c>
      <c r="C159" s="25"/>
      <c r="D159" s="36"/>
      <c r="E159" s="37"/>
      <c r="F159" s="38"/>
      <c r="G159" s="37"/>
      <c r="H159" s="38"/>
      <c r="I159" s="37"/>
      <c r="J159" s="38"/>
      <c r="K159" s="219"/>
    </row>
    <row r="160" spans="1:11" s="39" customFormat="1" ht="13.8">
      <c r="A160" s="27"/>
      <c r="B160" s="34" t="s">
        <v>45</v>
      </c>
      <c r="C160" s="25" t="s">
        <v>15</v>
      </c>
      <c r="D160" s="36">
        <f>D158</f>
        <v>196</v>
      </c>
      <c r="E160" s="37"/>
      <c r="F160" s="38"/>
      <c r="G160" s="37"/>
      <c r="H160" s="38"/>
      <c r="I160" s="37"/>
      <c r="J160" s="38"/>
      <c r="K160" s="219"/>
    </row>
    <row r="161" spans="1:11" s="33" customFormat="1" ht="13.8">
      <c r="A161" s="27">
        <f>A157+1</f>
        <v>11</v>
      </c>
      <c r="B161" s="28" t="s">
        <v>46</v>
      </c>
      <c r="C161" s="23" t="s">
        <v>13</v>
      </c>
      <c r="D161" s="30">
        <v>242</v>
      </c>
      <c r="E161" s="41"/>
      <c r="F161" s="31"/>
      <c r="G161" s="41"/>
      <c r="H161" s="31"/>
      <c r="I161" s="41"/>
      <c r="J161" s="31"/>
      <c r="K161" s="219"/>
    </row>
    <row r="162" spans="1:11" s="39" customFormat="1" ht="13.8">
      <c r="A162" s="27"/>
      <c r="B162" s="34" t="s">
        <v>14</v>
      </c>
      <c r="C162" s="25" t="s">
        <v>15</v>
      </c>
      <c r="D162" s="36">
        <f>D161</f>
        <v>242</v>
      </c>
      <c r="E162" s="37"/>
      <c r="F162" s="38"/>
      <c r="G162" s="37"/>
      <c r="H162" s="38"/>
      <c r="I162" s="37"/>
      <c r="J162" s="38"/>
      <c r="K162" s="219"/>
    </row>
    <row r="163" spans="1:11" s="39" customFormat="1" ht="15.75" customHeight="1">
      <c r="A163" s="27"/>
      <c r="B163" s="34" t="s">
        <v>47</v>
      </c>
      <c r="C163" s="25" t="s">
        <v>48</v>
      </c>
      <c r="D163" s="36">
        <v>3</v>
      </c>
      <c r="E163" s="37"/>
      <c r="F163" s="38"/>
      <c r="G163" s="37"/>
      <c r="H163" s="38"/>
      <c r="I163" s="37"/>
      <c r="J163" s="38"/>
      <c r="K163" s="219"/>
    </row>
    <row r="164" spans="1:11" s="39" customFormat="1" ht="13.8">
      <c r="A164" s="27"/>
      <c r="B164" s="34" t="s">
        <v>18</v>
      </c>
      <c r="C164" s="25"/>
      <c r="D164" s="36"/>
      <c r="E164" s="37"/>
      <c r="F164" s="38"/>
      <c r="G164" s="37"/>
      <c r="H164" s="38"/>
      <c r="I164" s="37"/>
      <c r="J164" s="38"/>
      <c r="K164" s="219"/>
    </row>
    <row r="165" spans="1:11" s="39" customFormat="1" ht="13.8">
      <c r="A165" s="27"/>
      <c r="B165" s="34" t="s">
        <v>49</v>
      </c>
      <c r="C165" s="25" t="s">
        <v>15</v>
      </c>
      <c r="D165" s="36">
        <f>D162</f>
        <v>242</v>
      </c>
      <c r="E165" s="37"/>
      <c r="F165" s="38"/>
      <c r="G165" s="37"/>
      <c r="H165" s="38"/>
      <c r="I165" s="37"/>
      <c r="J165" s="38"/>
      <c r="K165" s="219"/>
    </row>
    <row r="166" spans="1:11" s="33" customFormat="1" ht="27.6">
      <c r="A166" s="27">
        <f>A161+1</f>
        <v>12</v>
      </c>
      <c r="B166" s="28" t="s">
        <v>50</v>
      </c>
      <c r="C166" s="23" t="s">
        <v>13</v>
      </c>
      <c r="D166" s="30">
        <v>807</v>
      </c>
      <c r="E166" s="41"/>
      <c r="F166" s="31"/>
      <c r="G166" s="41"/>
      <c r="H166" s="31"/>
      <c r="I166" s="41"/>
      <c r="J166" s="31"/>
      <c r="K166" s="219"/>
    </row>
    <row r="167" spans="1:11" s="39" customFormat="1" ht="13.8">
      <c r="A167" s="27"/>
      <c r="B167" s="34" t="s">
        <v>14</v>
      </c>
      <c r="C167" s="25" t="s">
        <v>15</v>
      </c>
      <c r="D167" s="36">
        <f>D166</f>
        <v>807</v>
      </c>
      <c r="E167" s="37"/>
      <c r="F167" s="38"/>
      <c r="G167" s="37"/>
      <c r="H167" s="38"/>
      <c r="I167" s="37"/>
      <c r="J167" s="38"/>
      <c r="K167" s="219"/>
    </row>
    <row r="168" spans="1:11" s="39" customFormat="1" ht="13.8">
      <c r="A168" s="27"/>
      <c r="B168" s="34" t="s">
        <v>16</v>
      </c>
      <c r="C168" s="25" t="s">
        <v>17</v>
      </c>
      <c r="D168" s="36">
        <f>D166*0.01</f>
        <v>8.07</v>
      </c>
      <c r="E168" s="37"/>
      <c r="F168" s="38"/>
      <c r="G168" s="37"/>
      <c r="H168" s="38"/>
      <c r="I168" s="37"/>
      <c r="J168" s="38"/>
      <c r="K168" s="219"/>
    </row>
    <row r="169" spans="1:11" s="39" customFormat="1" ht="13.8">
      <c r="A169" s="27"/>
      <c r="B169" s="34" t="s">
        <v>18</v>
      </c>
      <c r="C169" s="25"/>
      <c r="D169" s="36"/>
      <c r="E169" s="37"/>
      <c r="F169" s="38"/>
      <c r="G169" s="37"/>
      <c r="H169" s="38"/>
      <c r="I169" s="37"/>
      <c r="J169" s="38"/>
      <c r="K169" s="219"/>
    </row>
    <row r="170" spans="1:11" s="39" customFormat="1" ht="13.8">
      <c r="A170" s="27"/>
      <c r="B170" s="34" t="s">
        <v>51</v>
      </c>
      <c r="C170" s="25" t="s">
        <v>15</v>
      </c>
      <c r="D170" s="36">
        <f>D166*1.05</f>
        <v>847.35</v>
      </c>
      <c r="E170" s="37"/>
      <c r="F170" s="38"/>
      <c r="G170" s="37"/>
      <c r="H170" s="38"/>
      <c r="I170" s="37"/>
      <c r="J170" s="38"/>
      <c r="K170" s="219"/>
    </row>
    <row r="171" spans="1:11" s="39" customFormat="1" ht="13.8">
      <c r="A171" s="27"/>
      <c r="B171" s="34" t="s">
        <v>52</v>
      </c>
      <c r="C171" s="25" t="s">
        <v>19</v>
      </c>
      <c r="D171" s="36">
        <f>D166*0.35</f>
        <v>282.45</v>
      </c>
      <c r="E171" s="37"/>
      <c r="F171" s="38"/>
      <c r="G171" s="37"/>
      <c r="H171" s="38"/>
      <c r="I171" s="37"/>
      <c r="J171" s="38"/>
      <c r="K171" s="219"/>
    </row>
    <row r="172" spans="1:11" s="39" customFormat="1" ht="13.8">
      <c r="A172" s="27"/>
      <c r="B172" s="34" t="s">
        <v>53</v>
      </c>
      <c r="C172" s="25" t="s">
        <v>19</v>
      </c>
      <c r="D172" s="36">
        <f>D166*0.05</f>
        <v>40.35</v>
      </c>
      <c r="E172" s="37"/>
      <c r="F172" s="38"/>
      <c r="G172" s="37"/>
      <c r="H172" s="38"/>
      <c r="I172" s="37"/>
      <c r="J172" s="38"/>
      <c r="K172" s="219"/>
    </row>
    <row r="173" spans="1:11" s="33" customFormat="1" ht="27.6">
      <c r="A173" s="27">
        <f>A166+1</f>
        <v>13</v>
      </c>
      <c r="B173" s="28" t="s">
        <v>150</v>
      </c>
      <c r="C173" s="23" t="s">
        <v>13</v>
      </c>
      <c r="D173" s="30">
        <f>D166</f>
        <v>807</v>
      </c>
      <c r="E173" s="41"/>
      <c r="F173" s="31"/>
      <c r="G173" s="41"/>
      <c r="H173" s="31"/>
      <c r="I173" s="41"/>
      <c r="J173" s="31"/>
      <c r="K173" s="219"/>
    </row>
    <row r="174" spans="1:11" s="39" customFormat="1" ht="13.8">
      <c r="A174" s="27"/>
      <c r="B174" s="34" t="s">
        <v>14</v>
      </c>
      <c r="C174" s="25" t="s">
        <v>15</v>
      </c>
      <c r="D174" s="36">
        <f>D173</f>
        <v>807</v>
      </c>
      <c r="E174" s="37"/>
      <c r="F174" s="38"/>
      <c r="G174" s="37"/>
      <c r="H174" s="38"/>
      <c r="I174" s="37"/>
      <c r="J174" s="38"/>
      <c r="K174" s="219"/>
    </row>
    <row r="175" spans="1:11" s="39" customFormat="1" ht="13.8">
      <c r="A175" s="27"/>
      <c r="B175" s="34" t="s">
        <v>16</v>
      </c>
      <c r="C175" s="25" t="s">
        <v>17</v>
      </c>
      <c r="D175" s="36">
        <f>D173*0.09</f>
        <v>72.63</v>
      </c>
      <c r="E175" s="37"/>
      <c r="F175" s="38"/>
      <c r="G175" s="37"/>
      <c r="H175" s="38"/>
      <c r="I175" s="37"/>
      <c r="J175" s="38"/>
      <c r="K175" s="219"/>
    </row>
    <row r="176" spans="1:11" s="39" customFormat="1" ht="13.8">
      <c r="A176" s="27"/>
      <c r="B176" s="34" t="s">
        <v>18</v>
      </c>
      <c r="C176" s="25"/>
      <c r="D176" s="36"/>
      <c r="E176" s="37"/>
      <c r="F176" s="38"/>
      <c r="G176" s="37"/>
      <c r="H176" s="38"/>
      <c r="I176" s="37"/>
      <c r="J176" s="38"/>
      <c r="K176" s="219"/>
    </row>
    <row r="177" spans="1:11" s="39" customFormat="1" ht="13.8">
      <c r="A177" s="27"/>
      <c r="B177" s="34" t="s">
        <v>54</v>
      </c>
      <c r="C177" s="25" t="s">
        <v>15</v>
      </c>
      <c r="D177" s="36">
        <f>D173*1.01</f>
        <v>815.07</v>
      </c>
      <c r="E177" s="37"/>
      <c r="F177" s="38"/>
      <c r="G177" s="37"/>
      <c r="H177" s="38"/>
      <c r="I177" s="37"/>
      <c r="J177" s="38"/>
      <c r="K177" s="219"/>
    </row>
    <row r="178" spans="1:11" s="39" customFormat="1" ht="13.8">
      <c r="A178" s="27"/>
      <c r="B178" s="34" t="s">
        <v>55</v>
      </c>
      <c r="C178" s="25" t="s">
        <v>31</v>
      </c>
      <c r="D178" s="36">
        <f>D173*3</f>
        <v>2421</v>
      </c>
      <c r="E178" s="37"/>
      <c r="F178" s="38"/>
      <c r="G178" s="37"/>
      <c r="H178" s="38"/>
      <c r="I178" s="37"/>
      <c r="J178" s="38"/>
      <c r="K178" s="219"/>
    </row>
    <row r="179" spans="1:11" s="39" customFormat="1" ht="13.8">
      <c r="A179" s="27"/>
      <c r="B179" s="34" t="s">
        <v>26</v>
      </c>
      <c r="C179" s="25" t="s">
        <v>17</v>
      </c>
      <c r="D179" s="36">
        <f>D173*0.08</f>
        <v>64.56</v>
      </c>
      <c r="E179" s="37"/>
      <c r="F179" s="38"/>
      <c r="G179" s="37"/>
      <c r="H179" s="38"/>
      <c r="I179" s="37"/>
      <c r="J179" s="38"/>
      <c r="K179" s="219"/>
    </row>
    <row r="180" spans="1:11" s="33" customFormat="1" ht="27.6">
      <c r="A180" s="27">
        <f>A173+1</f>
        <v>14</v>
      </c>
      <c r="B180" s="28" t="s">
        <v>56</v>
      </c>
      <c r="C180" s="23" t="s">
        <v>13</v>
      </c>
      <c r="D180" s="30">
        <f>D173</f>
        <v>807</v>
      </c>
      <c r="E180" s="41"/>
      <c r="F180" s="31"/>
      <c r="G180" s="41"/>
      <c r="H180" s="31"/>
      <c r="I180" s="41"/>
      <c r="J180" s="31"/>
      <c r="K180" s="219"/>
    </row>
    <row r="181" spans="1:11" s="39" customFormat="1" ht="13.8">
      <c r="A181" s="27"/>
      <c r="B181" s="34" t="s">
        <v>14</v>
      </c>
      <c r="C181" s="25" t="s">
        <v>15</v>
      </c>
      <c r="D181" s="36">
        <f>D180</f>
        <v>807</v>
      </c>
      <c r="E181" s="37"/>
      <c r="F181" s="38"/>
      <c r="G181" s="37"/>
      <c r="H181" s="38"/>
      <c r="I181" s="37"/>
      <c r="J181" s="38"/>
      <c r="K181" s="219"/>
    </row>
    <row r="182" spans="1:11" s="39" customFormat="1" ht="13.8">
      <c r="A182" s="27"/>
      <c r="B182" s="34" t="s">
        <v>16</v>
      </c>
      <c r="C182" s="25" t="s">
        <v>17</v>
      </c>
      <c r="D182" s="36">
        <f>D180*0.6</f>
        <v>484.2</v>
      </c>
      <c r="E182" s="37"/>
      <c r="F182" s="38"/>
      <c r="G182" s="37"/>
      <c r="H182" s="38"/>
      <c r="I182" s="37"/>
      <c r="J182" s="38"/>
      <c r="K182" s="219"/>
    </row>
    <row r="183" spans="1:11" s="39" customFormat="1" ht="13.8">
      <c r="A183" s="27"/>
      <c r="B183" s="34" t="s">
        <v>18</v>
      </c>
      <c r="C183" s="25"/>
      <c r="D183" s="36"/>
      <c r="E183" s="37"/>
      <c r="F183" s="38"/>
      <c r="G183" s="37"/>
      <c r="H183" s="38"/>
      <c r="I183" s="37"/>
      <c r="J183" s="38"/>
      <c r="K183" s="219"/>
    </row>
    <row r="184" spans="1:11" s="39" customFormat="1" ht="13.8">
      <c r="A184" s="27"/>
      <c r="B184" s="34" t="s">
        <v>42</v>
      </c>
      <c r="C184" s="26" t="s">
        <v>21</v>
      </c>
      <c r="D184" s="36">
        <f>D180*0.05</f>
        <v>40.35</v>
      </c>
      <c r="E184" s="37"/>
      <c r="F184" s="38"/>
      <c r="G184" s="37"/>
      <c r="H184" s="38"/>
      <c r="I184" s="37"/>
      <c r="J184" s="38"/>
      <c r="K184" s="219"/>
    </row>
    <row r="185" spans="1:11" s="39" customFormat="1" ht="13.8">
      <c r="A185" s="27"/>
      <c r="B185" s="34" t="s">
        <v>43</v>
      </c>
      <c r="C185" s="26" t="s">
        <v>21</v>
      </c>
      <c r="D185" s="36">
        <f>D180*0.1*1.25</f>
        <v>100.875</v>
      </c>
      <c r="E185" s="37"/>
      <c r="F185" s="38"/>
      <c r="G185" s="37"/>
      <c r="H185" s="38"/>
      <c r="I185" s="37"/>
      <c r="J185" s="38"/>
      <c r="K185" s="219"/>
    </row>
    <row r="186" spans="1:11" s="39" customFormat="1" ht="13.8">
      <c r="A186" s="27"/>
      <c r="B186" s="34" t="s">
        <v>26</v>
      </c>
      <c r="C186" s="25" t="s">
        <v>17</v>
      </c>
      <c r="D186" s="36">
        <f>D180*0.08</f>
        <v>64.56</v>
      </c>
      <c r="E186" s="37"/>
      <c r="F186" s="38"/>
      <c r="G186" s="37"/>
      <c r="H186" s="38"/>
      <c r="I186" s="37"/>
      <c r="J186" s="38"/>
      <c r="K186" s="219"/>
    </row>
    <row r="187" spans="1:11" s="33" customFormat="1" ht="27.6">
      <c r="A187" s="27">
        <f>A180+1</f>
        <v>15</v>
      </c>
      <c r="B187" s="28" t="s">
        <v>151</v>
      </c>
      <c r="C187" s="23" t="s">
        <v>13</v>
      </c>
      <c r="D187" s="30">
        <f>D180</f>
        <v>807</v>
      </c>
      <c r="E187" s="41"/>
      <c r="F187" s="31"/>
      <c r="G187" s="41"/>
      <c r="H187" s="31"/>
      <c r="I187" s="41"/>
      <c r="J187" s="31"/>
      <c r="K187" s="219"/>
    </row>
    <row r="188" spans="1:11" s="39" customFormat="1" ht="13.8">
      <c r="A188" s="27"/>
      <c r="B188" s="34" t="s">
        <v>14</v>
      </c>
      <c r="C188" s="25" t="s">
        <v>15</v>
      </c>
      <c r="D188" s="36">
        <f>D187</f>
        <v>807</v>
      </c>
      <c r="E188" s="37"/>
      <c r="F188" s="38"/>
      <c r="G188" s="37"/>
      <c r="H188" s="38"/>
      <c r="I188" s="37"/>
      <c r="J188" s="38"/>
      <c r="K188" s="219"/>
    </row>
    <row r="189" spans="1:11" s="39" customFormat="1" ht="13.8">
      <c r="A189" s="27"/>
      <c r="B189" s="34" t="s">
        <v>16</v>
      </c>
      <c r="C189" s="25" t="s">
        <v>17</v>
      </c>
      <c r="D189" s="36">
        <f>D187*0.0032</f>
        <v>2.5824000000000003</v>
      </c>
      <c r="E189" s="37"/>
      <c r="F189" s="38"/>
      <c r="G189" s="37"/>
      <c r="H189" s="38"/>
      <c r="I189" s="37"/>
      <c r="J189" s="38"/>
      <c r="K189" s="219"/>
    </row>
    <row r="190" spans="1:11" s="39" customFormat="1" ht="13.8">
      <c r="A190" s="27"/>
      <c r="B190" s="34" t="s">
        <v>18</v>
      </c>
      <c r="C190" s="25"/>
      <c r="D190" s="36"/>
      <c r="E190" s="37"/>
      <c r="F190" s="38"/>
      <c r="G190" s="37"/>
      <c r="H190" s="38"/>
      <c r="I190" s="37"/>
      <c r="J190" s="38"/>
      <c r="K190" s="219"/>
    </row>
    <row r="191" spans="1:11" s="39" customFormat="1" ht="13.8">
      <c r="A191" s="27"/>
      <c r="B191" s="34" t="s">
        <v>51</v>
      </c>
      <c r="C191" s="25" t="s">
        <v>15</v>
      </c>
      <c r="D191" s="36">
        <f>D187*1.05</f>
        <v>847.35</v>
      </c>
      <c r="E191" s="37"/>
      <c r="F191" s="38"/>
      <c r="G191" s="37"/>
      <c r="H191" s="38"/>
      <c r="I191" s="37"/>
      <c r="J191" s="38"/>
      <c r="K191" s="219"/>
    </row>
    <row r="192" spans="1:11" s="39" customFormat="1" ht="13.8">
      <c r="A192" s="27"/>
      <c r="B192" s="34" t="s">
        <v>59</v>
      </c>
      <c r="C192" s="25" t="s">
        <v>15</v>
      </c>
      <c r="D192" s="36">
        <f>D188*1.05</f>
        <v>847.35</v>
      </c>
      <c r="E192" s="37"/>
      <c r="F192" s="38"/>
      <c r="G192" s="37"/>
      <c r="H192" s="38"/>
      <c r="I192" s="37"/>
      <c r="J192" s="38"/>
      <c r="K192" s="219"/>
    </row>
    <row r="193" spans="1:11" s="39" customFormat="1" ht="13.8">
      <c r="A193" s="27"/>
      <c r="B193" s="34" t="s">
        <v>52</v>
      </c>
      <c r="C193" s="25" t="s">
        <v>19</v>
      </c>
      <c r="D193" s="36">
        <f>D187*0.35</f>
        <v>282.45</v>
      </c>
      <c r="E193" s="37"/>
      <c r="F193" s="38"/>
      <c r="G193" s="37"/>
      <c r="H193" s="38"/>
      <c r="I193" s="37"/>
      <c r="J193" s="38"/>
      <c r="K193" s="219"/>
    </row>
    <row r="194" spans="1:11" s="39" customFormat="1" ht="13.8">
      <c r="A194" s="27"/>
      <c r="B194" s="34" t="s">
        <v>53</v>
      </c>
      <c r="C194" s="25" t="s">
        <v>19</v>
      </c>
      <c r="D194" s="36">
        <f>D187*0.05</f>
        <v>40.35</v>
      </c>
      <c r="E194" s="37"/>
      <c r="F194" s="38"/>
      <c r="G194" s="37"/>
      <c r="H194" s="38"/>
      <c r="I194" s="37"/>
      <c r="J194" s="38"/>
      <c r="K194" s="219"/>
    </row>
    <row r="195" spans="1:11" s="33" customFormat="1" ht="13.8">
      <c r="A195" s="27">
        <f>A187+1</f>
        <v>16</v>
      </c>
      <c r="B195" s="28" t="s">
        <v>60</v>
      </c>
      <c r="C195" s="23" t="s">
        <v>13</v>
      </c>
      <c r="D195" s="30">
        <f>D187-290</f>
        <v>517</v>
      </c>
      <c r="E195" s="41"/>
      <c r="F195" s="31"/>
      <c r="G195" s="41"/>
      <c r="H195" s="31"/>
      <c r="I195" s="41"/>
      <c r="J195" s="31"/>
      <c r="K195" s="219"/>
    </row>
    <row r="196" spans="1:11" s="39" customFormat="1" ht="13.8">
      <c r="A196" s="27"/>
      <c r="B196" s="34" t="s">
        <v>14</v>
      </c>
      <c r="C196" s="25" t="s">
        <v>15</v>
      </c>
      <c r="D196" s="36">
        <f>D195</f>
        <v>517</v>
      </c>
      <c r="E196" s="37"/>
      <c r="F196" s="38"/>
      <c r="G196" s="37"/>
      <c r="H196" s="38"/>
      <c r="I196" s="37"/>
      <c r="J196" s="38"/>
      <c r="K196" s="219"/>
    </row>
    <row r="197" spans="1:11" s="39" customFormat="1" ht="13.8">
      <c r="A197" s="27"/>
      <c r="B197" s="34" t="s">
        <v>16</v>
      </c>
      <c r="C197" s="25" t="s">
        <v>17</v>
      </c>
      <c r="D197" s="36">
        <f>D195*0.0032/2</f>
        <v>0.82720000000000005</v>
      </c>
      <c r="E197" s="37"/>
      <c r="F197" s="38"/>
      <c r="G197" s="37"/>
      <c r="H197" s="38"/>
      <c r="I197" s="37"/>
      <c r="J197" s="38"/>
      <c r="K197" s="219"/>
    </row>
    <row r="198" spans="1:11" s="39" customFormat="1" ht="13.8">
      <c r="A198" s="27"/>
      <c r="B198" s="34" t="s">
        <v>18</v>
      </c>
      <c r="C198" s="25"/>
      <c r="D198" s="36"/>
      <c r="E198" s="37"/>
      <c r="F198" s="38"/>
      <c r="G198" s="37"/>
      <c r="H198" s="38"/>
      <c r="I198" s="37"/>
      <c r="J198" s="38"/>
      <c r="K198" s="219"/>
    </row>
    <row r="199" spans="1:11" s="39" customFormat="1" ht="13.8">
      <c r="A199" s="27"/>
      <c r="B199" s="34" t="s">
        <v>61</v>
      </c>
      <c r="C199" s="25" t="s">
        <v>15</v>
      </c>
      <c r="D199" s="36">
        <f>D195*1.05</f>
        <v>542.85</v>
      </c>
      <c r="E199" s="37"/>
      <c r="F199" s="38"/>
      <c r="G199" s="37"/>
      <c r="H199" s="38"/>
      <c r="I199" s="37"/>
      <c r="J199" s="38"/>
      <c r="K199" s="219"/>
    </row>
    <row r="200" spans="1:11" s="39" customFormat="1" ht="13.8">
      <c r="A200" s="27"/>
      <c r="B200" s="34" t="s">
        <v>52</v>
      </c>
      <c r="C200" s="25" t="s">
        <v>19</v>
      </c>
      <c r="D200" s="36">
        <f>D195*0.35/2</f>
        <v>90.474999999999994</v>
      </c>
      <c r="E200" s="37"/>
      <c r="F200" s="38"/>
      <c r="G200" s="37"/>
      <c r="H200" s="38"/>
      <c r="I200" s="37"/>
      <c r="J200" s="38"/>
      <c r="K200" s="219"/>
    </row>
    <row r="201" spans="1:11" s="39" customFormat="1" ht="13.8">
      <c r="A201" s="27"/>
      <c r="B201" s="34" t="s">
        <v>53</v>
      </c>
      <c r="C201" s="25" t="s">
        <v>19</v>
      </c>
      <c r="D201" s="36">
        <f>D195*0.05/2</f>
        <v>12.925000000000001</v>
      </c>
      <c r="E201" s="37"/>
      <c r="F201" s="38"/>
      <c r="G201" s="37"/>
      <c r="H201" s="38"/>
      <c r="I201" s="37"/>
      <c r="J201" s="38"/>
      <c r="K201" s="219"/>
    </row>
    <row r="202" spans="1:11" s="33" customFormat="1" ht="27.6">
      <c r="A202" s="27">
        <f>A195+1</f>
        <v>17</v>
      </c>
      <c r="B202" s="28" t="s">
        <v>62</v>
      </c>
      <c r="C202" s="23" t="s">
        <v>13</v>
      </c>
      <c r="D202" s="30">
        <f>83*1.1</f>
        <v>91.300000000000011</v>
      </c>
      <c r="E202" s="41"/>
      <c r="F202" s="31"/>
      <c r="G202" s="41"/>
      <c r="H202" s="31"/>
      <c r="I202" s="41"/>
      <c r="J202" s="31"/>
      <c r="K202" s="219"/>
    </row>
    <row r="203" spans="1:11" s="39" customFormat="1" ht="13.8">
      <c r="A203" s="27"/>
      <c r="B203" s="34" t="s">
        <v>14</v>
      </c>
      <c r="C203" s="25" t="s">
        <v>15</v>
      </c>
      <c r="D203" s="36">
        <f>D202</f>
        <v>91.300000000000011</v>
      </c>
      <c r="E203" s="37"/>
      <c r="F203" s="38"/>
      <c r="G203" s="37"/>
      <c r="H203" s="38"/>
      <c r="I203" s="37"/>
      <c r="J203" s="38"/>
      <c r="K203" s="219"/>
    </row>
    <row r="204" spans="1:11" s="39" customFormat="1" ht="13.8">
      <c r="A204" s="27"/>
      <c r="B204" s="34" t="s">
        <v>16</v>
      </c>
      <c r="C204" s="25" t="s">
        <v>17</v>
      </c>
      <c r="D204" s="36">
        <f>D202*0.04</f>
        <v>3.6520000000000006</v>
      </c>
      <c r="E204" s="37"/>
      <c r="F204" s="38"/>
      <c r="G204" s="37"/>
      <c r="H204" s="38"/>
      <c r="I204" s="37"/>
      <c r="J204" s="38"/>
      <c r="K204" s="219"/>
    </row>
    <row r="205" spans="1:11" s="39" customFormat="1" ht="13.8">
      <c r="A205" s="27"/>
      <c r="B205" s="34" t="s">
        <v>18</v>
      </c>
      <c r="C205" s="25"/>
      <c r="D205" s="36"/>
      <c r="E205" s="37"/>
      <c r="F205" s="38"/>
      <c r="G205" s="37"/>
      <c r="H205" s="38"/>
      <c r="I205" s="37"/>
      <c r="J205" s="38"/>
      <c r="K205" s="219"/>
    </row>
    <row r="206" spans="1:11" s="39" customFormat="1" ht="13.8">
      <c r="A206" s="27"/>
      <c r="B206" s="34" t="s">
        <v>63</v>
      </c>
      <c r="C206" s="25" t="s">
        <v>15</v>
      </c>
      <c r="D206" s="36">
        <f>D202</f>
        <v>91.300000000000011</v>
      </c>
      <c r="E206" s="37"/>
      <c r="F206" s="38"/>
      <c r="G206" s="37"/>
      <c r="H206" s="38"/>
      <c r="I206" s="37"/>
      <c r="J206" s="38"/>
      <c r="K206" s="219"/>
    </row>
    <row r="207" spans="1:11" s="39" customFormat="1" ht="13.8">
      <c r="A207" s="27"/>
      <c r="B207" s="34" t="s">
        <v>26</v>
      </c>
      <c r="C207" s="25" t="s">
        <v>17</v>
      </c>
      <c r="D207" s="36">
        <f>D202*0.0534</f>
        <v>4.875420000000001</v>
      </c>
      <c r="E207" s="37"/>
      <c r="F207" s="38"/>
      <c r="G207" s="37"/>
      <c r="H207" s="38"/>
      <c r="I207" s="37"/>
      <c r="J207" s="38"/>
      <c r="K207" s="219"/>
    </row>
    <row r="208" spans="1:11" s="33" customFormat="1" ht="27.6">
      <c r="A208" s="27">
        <f>A202+1</f>
        <v>18</v>
      </c>
      <c r="B208" s="28" t="s">
        <v>64</v>
      </c>
      <c r="C208" s="23" t="s">
        <v>65</v>
      </c>
      <c r="D208" s="30">
        <v>150.6</v>
      </c>
      <c r="E208" s="41"/>
      <c r="F208" s="31"/>
      <c r="G208" s="41"/>
      <c r="H208" s="31"/>
      <c r="I208" s="41"/>
      <c r="J208" s="31"/>
      <c r="K208" s="219"/>
    </row>
    <row r="209" spans="1:11" s="39" customFormat="1" ht="13.8">
      <c r="A209" s="27"/>
      <c r="B209" s="34" t="s">
        <v>14</v>
      </c>
      <c r="C209" s="25" t="s">
        <v>65</v>
      </c>
      <c r="D209" s="36">
        <f>D208</f>
        <v>150.6</v>
      </c>
      <c r="E209" s="37"/>
      <c r="F209" s="38"/>
      <c r="G209" s="37"/>
      <c r="H209" s="38"/>
      <c r="I209" s="37"/>
      <c r="J209" s="38"/>
      <c r="K209" s="219"/>
    </row>
    <row r="210" spans="1:11" s="39" customFormat="1" ht="13.8">
      <c r="A210" s="27"/>
      <c r="B210" s="34" t="s">
        <v>16</v>
      </c>
      <c r="C210" s="25" t="s">
        <v>17</v>
      </c>
      <c r="D210" s="36">
        <f>D208*0.04</f>
        <v>6.024</v>
      </c>
      <c r="E210" s="37"/>
      <c r="F210" s="38"/>
      <c r="G210" s="37"/>
      <c r="H210" s="38"/>
      <c r="I210" s="37"/>
      <c r="J210" s="38"/>
      <c r="K210" s="219"/>
    </row>
    <row r="211" spans="1:11" s="39" customFormat="1" ht="13.8">
      <c r="A211" s="27"/>
      <c r="B211" s="34" t="s">
        <v>18</v>
      </c>
      <c r="C211" s="25"/>
      <c r="D211" s="36"/>
      <c r="E211" s="37"/>
      <c r="F211" s="38"/>
      <c r="G211" s="37"/>
      <c r="H211" s="38"/>
      <c r="I211" s="37"/>
      <c r="J211" s="38"/>
      <c r="K211" s="219"/>
    </row>
    <row r="212" spans="1:11" s="39" customFormat="1" ht="13.8">
      <c r="A212" s="27"/>
      <c r="B212" s="34" t="s">
        <v>63</v>
      </c>
      <c r="C212" s="25" t="s">
        <v>65</v>
      </c>
      <c r="D212" s="36">
        <f>D208</f>
        <v>150.6</v>
      </c>
      <c r="E212" s="37"/>
      <c r="F212" s="38"/>
      <c r="G212" s="37"/>
      <c r="H212" s="38"/>
      <c r="I212" s="37"/>
      <c r="J212" s="38"/>
      <c r="K212" s="219"/>
    </row>
    <row r="213" spans="1:11" s="39" customFormat="1" ht="13.8">
      <c r="A213" s="27"/>
      <c r="B213" s="34" t="s">
        <v>26</v>
      </c>
      <c r="C213" s="25" t="s">
        <v>17</v>
      </c>
      <c r="D213" s="36">
        <f>D208*0.0534</f>
        <v>8.0420400000000001</v>
      </c>
      <c r="E213" s="37"/>
      <c r="F213" s="38"/>
      <c r="G213" s="37"/>
      <c r="H213" s="38"/>
      <c r="I213" s="37"/>
      <c r="J213" s="38"/>
      <c r="K213" s="219"/>
    </row>
    <row r="214" spans="1:11" s="33" customFormat="1" ht="27.6">
      <c r="A214" s="27">
        <f>A208+1</f>
        <v>19</v>
      </c>
      <c r="B214" s="28" t="s">
        <v>135</v>
      </c>
      <c r="C214" s="23" t="s">
        <v>65</v>
      </c>
      <c r="D214" s="30">
        <f>14.3+11.7+20</f>
        <v>46</v>
      </c>
      <c r="E214" s="41"/>
      <c r="F214" s="31"/>
      <c r="G214" s="41"/>
      <c r="H214" s="31"/>
      <c r="I214" s="41"/>
      <c r="J214" s="31"/>
      <c r="K214" s="219"/>
    </row>
    <row r="215" spans="1:11" s="39" customFormat="1" ht="13.8">
      <c r="A215" s="27"/>
      <c r="B215" s="34" t="s">
        <v>14</v>
      </c>
      <c r="C215" s="25" t="s">
        <v>65</v>
      </c>
      <c r="D215" s="36">
        <f>D214</f>
        <v>46</v>
      </c>
      <c r="E215" s="37"/>
      <c r="F215" s="38"/>
      <c r="G215" s="37"/>
      <c r="H215" s="38"/>
      <c r="I215" s="37"/>
      <c r="J215" s="38"/>
      <c r="K215" s="219"/>
    </row>
    <row r="216" spans="1:11" s="39" customFormat="1" ht="13.8">
      <c r="A216" s="27"/>
      <c r="B216" s="34" t="s">
        <v>16</v>
      </c>
      <c r="C216" s="25" t="s">
        <v>17</v>
      </c>
      <c r="D216" s="36">
        <f>D214*0.04</f>
        <v>1.84</v>
      </c>
      <c r="E216" s="37"/>
      <c r="F216" s="38"/>
      <c r="G216" s="37"/>
      <c r="H216" s="38"/>
      <c r="I216" s="37"/>
      <c r="J216" s="38"/>
      <c r="K216" s="219"/>
    </row>
    <row r="217" spans="1:11" s="39" customFormat="1" ht="13.8">
      <c r="A217" s="27"/>
      <c r="B217" s="34" t="s">
        <v>18</v>
      </c>
      <c r="C217" s="25"/>
      <c r="D217" s="36"/>
      <c r="E217" s="37"/>
      <c r="F217" s="38"/>
      <c r="G217" s="37"/>
      <c r="H217" s="38"/>
      <c r="I217" s="37"/>
      <c r="J217" s="38"/>
      <c r="K217" s="219"/>
    </row>
    <row r="218" spans="1:11" s="39" customFormat="1" ht="13.8">
      <c r="A218" s="27"/>
      <c r="B218" s="34" t="s">
        <v>63</v>
      </c>
      <c r="C218" s="25" t="s">
        <v>65</v>
      </c>
      <c r="D218" s="36">
        <f>D214</f>
        <v>46</v>
      </c>
      <c r="E218" s="37"/>
      <c r="F218" s="38"/>
      <c r="G218" s="37"/>
      <c r="H218" s="38"/>
      <c r="I218" s="37"/>
      <c r="J218" s="38"/>
      <c r="K218" s="219"/>
    </row>
    <row r="219" spans="1:11" s="39" customFormat="1" ht="13.8">
      <c r="A219" s="27"/>
      <c r="B219" s="34" t="s">
        <v>26</v>
      </c>
      <c r="C219" s="25" t="s">
        <v>17</v>
      </c>
      <c r="D219" s="36">
        <f>D214*0.0534</f>
        <v>2.4564000000000004</v>
      </c>
      <c r="E219" s="37"/>
      <c r="F219" s="38"/>
      <c r="G219" s="37"/>
      <c r="H219" s="38"/>
      <c r="I219" s="37"/>
      <c r="J219" s="38"/>
      <c r="K219" s="219"/>
    </row>
    <row r="220" spans="1:11" s="33" customFormat="1" ht="27.6">
      <c r="A220" s="27">
        <f>A208+1</f>
        <v>19</v>
      </c>
      <c r="B220" s="28" t="s">
        <v>66</v>
      </c>
      <c r="C220" s="23" t="s">
        <v>13</v>
      </c>
      <c r="D220" s="30">
        <v>350</v>
      </c>
      <c r="E220" s="41"/>
      <c r="F220" s="31"/>
      <c r="G220" s="41"/>
      <c r="H220" s="31"/>
      <c r="I220" s="41"/>
      <c r="J220" s="31"/>
      <c r="K220" s="219"/>
    </row>
    <row r="221" spans="1:11" s="39" customFormat="1" ht="13.8">
      <c r="A221" s="27"/>
      <c r="B221" s="34" t="s">
        <v>14</v>
      </c>
      <c r="C221" s="25" t="s">
        <v>15</v>
      </c>
      <c r="D221" s="36">
        <f>D220</f>
        <v>350</v>
      </c>
      <c r="E221" s="37"/>
      <c r="F221" s="38"/>
      <c r="G221" s="37"/>
      <c r="H221" s="38"/>
      <c r="I221" s="37"/>
      <c r="J221" s="38"/>
      <c r="K221" s="219"/>
    </row>
    <row r="222" spans="1:11" s="39" customFormat="1" ht="13.8">
      <c r="A222" s="27"/>
      <c r="B222" s="34" t="s">
        <v>16</v>
      </c>
      <c r="C222" s="25" t="s">
        <v>17</v>
      </c>
      <c r="D222" s="36">
        <f>D220*0.03</f>
        <v>10.5</v>
      </c>
      <c r="E222" s="37"/>
      <c r="F222" s="38"/>
      <c r="G222" s="37"/>
      <c r="H222" s="38"/>
      <c r="I222" s="37"/>
      <c r="J222" s="38"/>
      <c r="K222" s="219"/>
    </row>
    <row r="223" spans="1:11" s="39" customFormat="1" ht="13.8">
      <c r="A223" s="27"/>
      <c r="B223" s="34" t="s">
        <v>18</v>
      </c>
      <c r="C223" s="25"/>
      <c r="D223" s="36"/>
      <c r="E223" s="37"/>
      <c r="F223" s="38"/>
      <c r="G223" s="37"/>
      <c r="H223" s="38"/>
      <c r="I223" s="37"/>
      <c r="J223" s="38"/>
      <c r="K223" s="219"/>
    </row>
    <row r="224" spans="1:11" s="39" customFormat="1" ht="13.8">
      <c r="A224" s="27"/>
      <c r="B224" s="34" t="s">
        <v>67</v>
      </c>
      <c r="C224" s="25" t="s">
        <v>19</v>
      </c>
      <c r="D224" s="36">
        <f>D220*0.7</f>
        <v>244.99999999999997</v>
      </c>
      <c r="E224" s="37"/>
      <c r="F224" s="38"/>
      <c r="G224" s="37"/>
      <c r="H224" s="38"/>
      <c r="I224" s="37"/>
      <c r="J224" s="38"/>
      <c r="K224" s="219"/>
    </row>
    <row r="225" spans="1:11" s="39" customFormat="1" ht="13.8">
      <c r="A225" s="27"/>
      <c r="B225" s="34" t="s">
        <v>68</v>
      </c>
      <c r="C225" s="25" t="s">
        <v>19</v>
      </c>
      <c r="D225" s="36">
        <f>D220*0.4</f>
        <v>140</v>
      </c>
      <c r="E225" s="37"/>
      <c r="F225" s="38"/>
      <c r="G225" s="37"/>
      <c r="H225" s="38"/>
      <c r="I225" s="37"/>
      <c r="J225" s="38"/>
      <c r="K225" s="219"/>
    </row>
    <row r="226" spans="1:11" s="39" customFormat="1" ht="13.8">
      <c r="A226" s="27"/>
      <c r="B226" s="34" t="s">
        <v>26</v>
      </c>
      <c r="C226" s="25" t="s">
        <v>17</v>
      </c>
      <c r="D226" s="36">
        <f>D220*0.1</f>
        <v>35</v>
      </c>
      <c r="E226" s="37"/>
      <c r="F226" s="38"/>
      <c r="G226" s="37"/>
      <c r="H226" s="38"/>
      <c r="I226" s="37"/>
      <c r="J226" s="38"/>
      <c r="K226" s="219"/>
    </row>
    <row r="227" spans="1:11" s="60" customFormat="1" ht="13.8">
      <c r="A227" s="21">
        <f>A220+1</f>
        <v>20</v>
      </c>
      <c r="B227" s="22" t="s">
        <v>69</v>
      </c>
      <c r="C227" s="21" t="s">
        <v>70</v>
      </c>
      <c r="D227" s="64">
        <v>625</v>
      </c>
      <c r="E227" s="59"/>
      <c r="F227" s="59"/>
      <c r="G227" s="59"/>
      <c r="H227" s="59"/>
      <c r="I227" s="59"/>
      <c r="J227" s="59"/>
      <c r="K227" s="59"/>
    </row>
    <row r="228" spans="1:11" s="63" customFormat="1" ht="13.8">
      <c r="A228" s="21"/>
      <c r="B228" s="24" t="s">
        <v>14</v>
      </c>
      <c r="C228" s="26" t="s">
        <v>71</v>
      </c>
      <c r="D228" s="61">
        <f>D227</f>
        <v>625</v>
      </c>
      <c r="E228" s="62"/>
      <c r="F228" s="62"/>
      <c r="G228" s="62"/>
      <c r="H228" s="62"/>
      <c r="I228" s="62"/>
      <c r="J228" s="62"/>
      <c r="K228" s="62"/>
    </row>
    <row r="229" spans="1:11" s="63" customFormat="1" ht="13.8">
      <c r="A229" s="21"/>
      <c r="B229" s="24" t="s">
        <v>16</v>
      </c>
      <c r="C229" s="26" t="s">
        <v>17</v>
      </c>
      <c r="D229" s="61">
        <f>D227*0.92</f>
        <v>575</v>
      </c>
      <c r="E229" s="62"/>
      <c r="F229" s="62"/>
      <c r="G229" s="62"/>
      <c r="H229" s="62"/>
      <c r="I229" s="62"/>
      <c r="J229" s="62"/>
      <c r="K229" s="62"/>
    </row>
    <row r="230" spans="1:11" s="63" customFormat="1" ht="13.8">
      <c r="A230" s="21"/>
      <c r="B230" s="24" t="s">
        <v>72</v>
      </c>
      <c r="C230" s="26"/>
      <c r="D230" s="61"/>
      <c r="E230" s="62"/>
      <c r="F230" s="62"/>
      <c r="G230" s="62"/>
      <c r="H230" s="62"/>
      <c r="I230" s="62"/>
      <c r="J230" s="62"/>
      <c r="K230" s="62"/>
    </row>
    <row r="231" spans="1:11" s="63" customFormat="1" ht="13.8">
      <c r="A231" s="21"/>
      <c r="B231" s="24" t="s">
        <v>140</v>
      </c>
      <c r="C231" s="26" t="s">
        <v>31</v>
      </c>
      <c r="D231" s="61">
        <f>85*D227</f>
        <v>53125</v>
      </c>
      <c r="E231" s="62"/>
      <c r="F231" s="62"/>
      <c r="G231" s="62"/>
      <c r="H231" s="62"/>
      <c r="I231" s="62"/>
      <c r="J231" s="62"/>
      <c r="K231" s="62"/>
    </row>
    <row r="232" spans="1:11" s="63" customFormat="1" ht="13.8">
      <c r="A232" s="21"/>
      <c r="B232" s="24" t="s">
        <v>42</v>
      </c>
      <c r="C232" s="26" t="s">
        <v>71</v>
      </c>
      <c r="D232" s="61">
        <f>0.22*D227</f>
        <v>137.5</v>
      </c>
      <c r="E232" s="37"/>
      <c r="F232" s="62"/>
      <c r="G232" s="62"/>
      <c r="H232" s="62"/>
      <c r="I232" s="62"/>
      <c r="J232" s="62"/>
      <c r="K232" s="62"/>
    </row>
    <row r="233" spans="1:11" s="63" customFormat="1" ht="13.8">
      <c r="A233" s="21"/>
      <c r="B233" s="24" t="s">
        <v>26</v>
      </c>
      <c r="C233" s="26" t="s">
        <v>17</v>
      </c>
      <c r="D233" s="61">
        <f>0.16*D227</f>
        <v>100</v>
      </c>
      <c r="E233" s="62"/>
      <c r="F233" s="62"/>
      <c r="G233" s="62"/>
      <c r="H233" s="62"/>
      <c r="I233" s="62"/>
      <c r="J233" s="62"/>
      <c r="K233" s="62"/>
    </row>
    <row r="234" spans="1:11" s="63" customFormat="1" ht="27.6">
      <c r="A234" s="21">
        <f>A227+1</f>
        <v>21</v>
      </c>
      <c r="B234" s="22" t="s">
        <v>74</v>
      </c>
      <c r="C234" s="21" t="s">
        <v>70</v>
      </c>
      <c r="D234" s="64">
        <v>27</v>
      </c>
      <c r="E234" s="62"/>
      <c r="F234" s="62"/>
      <c r="G234" s="62"/>
      <c r="H234" s="62"/>
      <c r="I234" s="62"/>
      <c r="J234" s="62"/>
      <c r="K234" s="62"/>
    </row>
    <row r="235" spans="1:11" s="63" customFormat="1" ht="13.8">
      <c r="A235" s="21"/>
      <c r="B235" s="24" t="s">
        <v>14</v>
      </c>
      <c r="C235" s="26" t="s">
        <v>71</v>
      </c>
      <c r="D235" s="61">
        <f>D234</f>
        <v>27</v>
      </c>
      <c r="E235" s="62"/>
      <c r="F235" s="62"/>
      <c r="G235" s="62"/>
      <c r="H235" s="62"/>
      <c r="I235" s="62"/>
      <c r="J235" s="62"/>
      <c r="K235" s="62"/>
    </row>
    <row r="236" spans="1:11" s="63" customFormat="1" ht="13.8">
      <c r="A236" s="21"/>
      <c r="B236" s="24" t="s">
        <v>16</v>
      </c>
      <c r="C236" s="26" t="s">
        <v>17</v>
      </c>
      <c r="D236" s="61">
        <f>D234*0.92</f>
        <v>24.84</v>
      </c>
      <c r="E236" s="62"/>
      <c r="F236" s="62"/>
      <c r="G236" s="62"/>
      <c r="H236" s="62"/>
      <c r="I236" s="62"/>
      <c r="J236" s="62"/>
      <c r="K236" s="62"/>
    </row>
    <row r="237" spans="1:11" s="63" customFormat="1" ht="13.8">
      <c r="A237" s="21"/>
      <c r="B237" s="24" t="s">
        <v>72</v>
      </c>
      <c r="C237" s="26"/>
      <c r="D237" s="61"/>
      <c r="E237" s="62"/>
      <c r="F237" s="62"/>
      <c r="G237" s="62"/>
      <c r="H237" s="62"/>
      <c r="I237" s="62"/>
      <c r="J237" s="62"/>
      <c r="K237" s="62"/>
    </row>
    <row r="238" spans="1:11" s="63" customFormat="1" ht="13.8">
      <c r="A238" s="21"/>
      <c r="B238" s="24" t="s">
        <v>73</v>
      </c>
      <c r="C238" s="26" t="s">
        <v>31</v>
      </c>
      <c r="D238" s="61">
        <f>63*D234</f>
        <v>1701</v>
      </c>
      <c r="E238" s="62"/>
      <c r="F238" s="62"/>
      <c r="G238" s="62"/>
      <c r="H238" s="62"/>
      <c r="I238" s="62"/>
      <c r="J238" s="62"/>
      <c r="K238" s="62"/>
    </row>
    <row r="239" spans="1:11" s="63" customFormat="1" ht="13.8">
      <c r="A239" s="21"/>
      <c r="B239" s="24" t="s">
        <v>42</v>
      </c>
      <c r="C239" s="26" t="s">
        <v>71</v>
      </c>
      <c r="D239" s="61">
        <f>0.22*D234</f>
        <v>5.94</v>
      </c>
      <c r="E239" s="37"/>
      <c r="F239" s="62"/>
      <c r="G239" s="62"/>
      <c r="H239" s="62"/>
      <c r="I239" s="62"/>
      <c r="J239" s="62"/>
      <c r="K239" s="62"/>
    </row>
    <row r="240" spans="1:11" s="63" customFormat="1" ht="13.8">
      <c r="A240" s="21"/>
      <c r="B240" s="24" t="s">
        <v>26</v>
      </c>
      <c r="C240" s="26" t="s">
        <v>17</v>
      </c>
      <c r="D240" s="61">
        <f>0.16*D234</f>
        <v>4.32</v>
      </c>
      <c r="E240" s="62"/>
      <c r="F240" s="62"/>
      <c r="G240" s="62"/>
      <c r="H240" s="62"/>
      <c r="I240" s="62"/>
      <c r="J240" s="62"/>
      <c r="K240" s="62"/>
    </row>
    <row r="241" spans="1:11" s="60" customFormat="1" ht="27.6">
      <c r="A241" s="21">
        <f>A234+1</f>
        <v>22</v>
      </c>
      <c r="B241" s="239" t="s">
        <v>122</v>
      </c>
      <c r="C241" s="21" t="s">
        <v>75</v>
      </c>
      <c r="D241" s="64">
        <v>600</v>
      </c>
      <c r="E241" s="65"/>
      <c r="F241" s="65"/>
      <c r="G241" s="65"/>
      <c r="H241" s="65"/>
      <c r="I241" s="65"/>
      <c r="J241" s="65"/>
      <c r="K241" s="65"/>
    </row>
    <row r="242" spans="1:11" s="63" customFormat="1" ht="13.8">
      <c r="A242" s="21"/>
      <c r="B242" s="24" t="s">
        <v>14</v>
      </c>
      <c r="C242" s="26" t="str">
        <f>C241</f>
        <v>მ²</v>
      </c>
      <c r="D242" s="61">
        <f>D241</f>
        <v>600</v>
      </c>
      <c r="E242" s="62"/>
      <c r="F242" s="62"/>
      <c r="G242" s="62"/>
      <c r="H242" s="62"/>
      <c r="I242" s="62"/>
      <c r="J242" s="62"/>
      <c r="K242" s="62"/>
    </row>
    <row r="243" spans="1:11" s="63" customFormat="1" ht="13.8">
      <c r="A243" s="21"/>
      <c r="B243" s="24" t="s">
        <v>16</v>
      </c>
      <c r="C243" s="26" t="s">
        <v>17</v>
      </c>
      <c r="D243" s="61">
        <f>D241*0.032</f>
        <v>19.2</v>
      </c>
      <c r="E243" s="62"/>
      <c r="F243" s="62"/>
      <c r="G243" s="62"/>
      <c r="H243" s="62"/>
      <c r="I243" s="62"/>
      <c r="J243" s="62"/>
      <c r="K243" s="62"/>
    </row>
    <row r="244" spans="1:11" s="63" customFormat="1" ht="13.8">
      <c r="A244" s="21"/>
      <c r="B244" s="24" t="s">
        <v>72</v>
      </c>
      <c r="C244" s="26"/>
      <c r="D244" s="61"/>
      <c r="E244" s="62"/>
      <c r="F244" s="62"/>
      <c r="G244" s="62"/>
      <c r="H244" s="62"/>
      <c r="I244" s="62"/>
      <c r="J244" s="62"/>
      <c r="K244" s="62"/>
    </row>
    <row r="245" spans="1:11" s="63" customFormat="1" ht="13.8">
      <c r="A245" s="21"/>
      <c r="B245" s="24" t="s">
        <v>40</v>
      </c>
      <c r="C245" s="26" t="str">
        <f>C242</f>
        <v>მ²</v>
      </c>
      <c r="D245" s="61">
        <f>D241*1.05</f>
        <v>630</v>
      </c>
      <c r="E245" s="62"/>
      <c r="F245" s="62"/>
      <c r="G245" s="62"/>
      <c r="H245" s="62"/>
      <c r="I245" s="62"/>
      <c r="J245" s="62"/>
      <c r="K245" s="62"/>
    </row>
    <row r="246" spans="1:11" s="63" customFormat="1" ht="13.8">
      <c r="A246" s="21"/>
      <c r="B246" s="24" t="s">
        <v>91</v>
      </c>
      <c r="C246" s="26" t="s">
        <v>19</v>
      </c>
      <c r="D246" s="61">
        <f>D241*8</f>
        <v>4800</v>
      </c>
      <c r="E246" s="62"/>
      <c r="F246" s="62"/>
      <c r="G246" s="62"/>
      <c r="H246" s="62"/>
      <c r="I246" s="62"/>
      <c r="J246" s="62"/>
      <c r="K246" s="62"/>
    </row>
    <row r="247" spans="1:11" s="63" customFormat="1" ht="13.8">
      <c r="A247" s="21"/>
      <c r="B247" s="24" t="s">
        <v>26</v>
      </c>
      <c r="C247" s="26" t="s">
        <v>17</v>
      </c>
      <c r="D247" s="61">
        <f>D241*0.8</f>
        <v>480</v>
      </c>
      <c r="E247" s="62"/>
      <c r="F247" s="62"/>
      <c r="G247" s="62"/>
      <c r="H247" s="62"/>
      <c r="I247" s="62"/>
      <c r="J247" s="62"/>
      <c r="K247" s="62"/>
    </row>
    <row r="248" spans="1:11" s="33" customFormat="1" ht="13.8">
      <c r="A248" s="27">
        <f>A241+1</f>
        <v>23</v>
      </c>
      <c r="B248" s="28" t="s">
        <v>141</v>
      </c>
      <c r="C248" s="23" t="s">
        <v>13</v>
      </c>
      <c r="D248" s="30">
        <f>3750+230+150</f>
        <v>4130</v>
      </c>
      <c r="E248" s="41"/>
      <c r="F248" s="31"/>
      <c r="G248" s="41"/>
      <c r="H248" s="31"/>
      <c r="I248" s="41"/>
      <c r="J248" s="31"/>
      <c r="K248" s="219"/>
    </row>
    <row r="249" spans="1:11" s="39" customFormat="1" ht="13.8">
      <c r="A249" s="27"/>
      <c r="B249" s="34" t="s">
        <v>14</v>
      </c>
      <c r="C249" s="25" t="s">
        <v>15</v>
      </c>
      <c r="D249" s="36">
        <f>D248</f>
        <v>4130</v>
      </c>
      <c r="E249" s="37"/>
      <c r="F249" s="38"/>
      <c r="G249" s="37"/>
      <c r="H249" s="38"/>
      <c r="I249" s="37"/>
      <c r="J249" s="38"/>
      <c r="K249" s="219"/>
    </row>
    <row r="250" spans="1:11" s="39" customFormat="1" ht="13.8">
      <c r="A250" s="27"/>
      <c r="B250" s="34" t="s">
        <v>16</v>
      </c>
      <c r="C250" s="25" t="s">
        <v>17</v>
      </c>
      <c r="D250" s="36">
        <f>D248*0.15</f>
        <v>619.5</v>
      </c>
      <c r="E250" s="37"/>
      <c r="F250" s="38"/>
      <c r="G250" s="37"/>
      <c r="H250" s="220"/>
      <c r="I250" s="37"/>
      <c r="J250" s="38"/>
      <c r="K250" s="219"/>
    </row>
    <row r="251" spans="1:11" s="39" customFormat="1" ht="13.8">
      <c r="A251" s="27"/>
      <c r="B251" s="34" t="s">
        <v>18</v>
      </c>
      <c r="C251" s="25"/>
      <c r="D251" s="36"/>
      <c r="E251" s="37"/>
      <c r="F251" s="38"/>
      <c r="G251" s="37"/>
      <c r="H251" s="38"/>
      <c r="I251" s="37"/>
      <c r="J251" s="38"/>
      <c r="K251" s="219"/>
    </row>
    <row r="252" spans="1:11" s="39" customFormat="1" ht="13.8">
      <c r="A252" s="27"/>
      <c r="B252" s="34" t="s">
        <v>38</v>
      </c>
      <c r="C252" s="26" t="s">
        <v>21</v>
      </c>
      <c r="D252" s="36">
        <f>D248*0.06</f>
        <v>247.79999999999998</v>
      </c>
      <c r="E252" s="37"/>
      <c r="F252" s="38"/>
      <c r="G252" s="37"/>
      <c r="H252" s="38"/>
      <c r="I252" s="37"/>
      <c r="J252" s="38"/>
      <c r="K252" s="219"/>
    </row>
    <row r="253" spans="1:11" s="39" customFormat="1" ht="13.8">
      <c r="A253" s="27"/>
      <c r="B253" s="34" t="s">
        <v>547</v>
      </c>
      <c r="C253" s="25" t="s">
        <v>15</v>
      </c>
      <c r="D253" s="36">
        <f>550+150</f>
        <v>700</v>
      </c>
      <c r="E253" s="37"/>
      <c r="F253" s="38"/>
      <c r="G253" s="37"/>
      <c r="H253" s="38"/>
      <c r="I253" s="37"/>
      <c r="J253" s="38"/>
      <c r="K253" s="219"/>
    </row>
    <row r="254" spans="1:11" s="39" customFormat="1" ht="13.8">
      <c r="A254" s="27"/>
      <c r="B254" s="34" t="s">
        <v>26</v>
      </c>
      <c r="C254" s="25" t="s">
        <v>17</v>
      </c>
      <c r="D254" s="36">
        <f>D248*0.2</f>
        <v>826</v>
      </c>
      <c r="E254" s="37"/>
      <c r="F254" s="38"/>
      <c r="G254" s="37"/>
      <c r="H254" s="38"/>
      <c r="I254" s="37"/>
      <c r="J254" s="38"/>
      <c r="K254" s="219"/>
    </row>
    <row r="255" spans="1:11" s="33" customFormat="1" ht="13.8">
      <c r="A255" s="27">
        <f>A241+1</f>
        <v>23</v>
      </c>
      <c r="B255" s="28" t="s">
        <v>153</v>
      </c>
      <c r="C255" s="23" t="s">
        <v>13</v>
      </c>
      <c r="D255" s="30">
        <v>6309</v>
      </c>
      <c r="E255" s="41"/>
      <c r="F255" s="31"/>
      <c r="G255" s="41"/>
      <c r="H255" s="31"/>
      <c r="I255" s="41"/>
      <c r="J255" s="31"/>
      <c r="K255" s="219"/>
    </row>
    <row r="256" spans="1:11" s="39" customFormat="1" ht="13.8">
      <c r="A256" s="27"/>
      <c r="B256" s="34" t="s">
        <v>14</v>
      </c>
      <c r="C256" s="25" t="s">
        <v>15</v>
      </c>
      <c r="D256" s="36">
        <f>D255</f>
        <v>6309</v>
      </c>
      <c r="E256" s="37"/>
      <c r="F256" s="38"/>
      <c r="G256" s="37"/>
      <c r="H256" s="38"/>
      <c r="I256" s="37"/>
      <c r="J256" s="38"/>
      <c r="K256" s="219"/>
    </row>
    <row r="257" spans="1:11" s="39" customFormat="1" ht="13.8">
      <c r="A257" s="27"/>
      <c r="B257" s="34" t="s">
        <v>16</v>
      </c>
      <c r="C257" s="25" t="s">
        <v>17</v>
      </c>
      <c r="D257" s="36">
        <f>D255*0.15</f>
        <v>946.34999999999991</v>
      </c>
      <c r="E257" s="37"/>
      <c r="F257" s="38"/>
      <c r="G257" s="37"/>
      <c r="H257" s="220"/>
      <c r="I257" s="37"/>
      <c r="J257" s="38"/>
      <c r="K257" s="219"/>
    </row>
    <row r="258" spans="1:11" s="39" customFormat="1" ht="13.8">
      <c r="A258" s="27"/>
      <c r="B258" s="34" t="s">
        <v>18</v>
      </c>
      <c r="C258" s="25"/>
      <c r="D258" s="36"/>
      <c r="E258" s="37"/>
      <c r="F258" s="38"/>
      <c r="G258" s="37"/>
      <c r="H258" s="38"/>
      <c r="I258" s="37"/>
      <c r="J258" s="38"/>
      <c r="K258" s="219"/>
    </row>
    <row r="259" spans="1:11" s="39" customFormat="1" ht="13.8">
      <c r="A259" s="27"/>
      <c r="B259" s="34" t="s">
        <v>154</v>
      </c>
      <c r="C259" s="26" t="s">
        <v>24</v>
      </c>
      <c r="D259" s="36">
        <f>D255*0.04</f>
        <v>252.36</v>
      </c>
      <c r="E259" s="37"/>
      <c r="F259" s="38"/>
      <c r="G259" s="37"/>
      <c r="H259" s="38"/>
      <c r="I259" s="37"/>
      <c r="J259" s="38"/>
      <c r="K259" s="219"/>
    </row>
    <row r="260" spans="1:11" s="39" customFormat="1" ht="13.8">
      <c r="A260" s="27"/>
      <c r="B260" s="34" t="s">
        <v>26</v>
      </c>
      <c r="C260" s="25" t="s">
        <v>17</v>
      </c>
      <c r="D260" s="36">
        <f>D255*0.1</f>
        <v>630.90000000000009</v>
      </c>
      <c r="E260" s="37"/>
      <c r="F260" s="38"/>
      <c r="G260" s="37"/>
      <c r="H260" s="38"/>
      <c r="I260" s="37"/>
      <c r="J260" s="38"/>
      <c r="K260" s="219"/>
    </row>
    <row r="261" spans="1:11" s="60" customFormat="1" ht="13.8">
      <c r="A261" s="21">
        <f>A241+1</f>
        <v>23</v>
      </c>
      <c r="B261" s="68" t="s">
        <v>92</v>
      </c>
      <c r="C261" s="21" t="s">
        <v>75</v>
      </c>
      <c r="D261" s="64">
        <f>D248+D255-D241+190</f>
        <v>10029</v>
      </c>
      <c r="E261" s="65"/>
      <c r="F261" s="65"/>
      <c r="G261" s="65"/>
      <c r="H261" s="65"/>
      <c r="I261" s="65"/>
      <c r="J261" s="65"/>
      <c r="K261" s="65"/>
    </row>
    <row r="262" spans="1:11" s="63" customFormat="1" ht="13.8">
      <c r="A262" s="21"/>
      <c r="B262" s="75" t="s">
        <v>14</v>
      </c>
      <c r="C262" s="26" t="str">
        <f>C261</f>
        <v>მ²</v>
      </c>
      <c r="D262" s="61">
        <f>D261</f>
        <v>10029</v>
      </c>
      <c r="E262" s="62"/>
      <c r="F262" s="62"/>
      <c r="G262" s="62"/>
      <c r="H262" s="62"/>
      <c r="I262" s="62"/>
      <c r="J262" s="62"/>
      <c r="K262" s="62"/>
    </row>
    <row r="263" spans="1:11" s="63" customFormat="1" ht="13.8">
      <c r="A263" s="21"/>
      <c r="B263" s="75" t="s">
        <v>16</v>
      </c>
      <c r="C263" s="26" t="s">
        <v>17</v>
      </c>
      <c r="D263" s="61">
        <f>D261*0.0058</f>
        <v>58.168199999999999</v>
      </c>
      <c r="E263" s="62"/>
      <c r="F263" s="62"/>
      <c r="G263" s="62"/>
      <c r="H263" s="62"/>
      <c r="I263" s="62"/>
      <c r="J263" s="62"/>
      <c r="K263" s="62"/>
    </row>
    <row r="264" spans="1:11" s="63" customFormat="1" ht="13.8">
      <c r="A264" s="21"/>
      <c r="B264" s="75" t="s">
        <v>72</v>
      </c>
      <c r="C264" s="26"/>
      <c r="D264" s="61"/>
      <c r="E264" s="62"/>
      <c r="F264" s="62"/>
      <c r="G264" s="62"/>
      <c r="H264" s="62"/>
      <c r="I264" s="62"/>
      <c r="J264" s="62"/>
      <c r="K264" s="62"/>
    </row>
    <row r="265" spans="1:11" s="63" customFormat="1" ht="13.8">
      <c r="A265" s="21"/>
      <c r="B265" s="75" t="s">
        <v>93</v>
      </c>
      <c r="C265" s="26" t="s">
        <v>19</v>
      </c>
      <c r="D265" s="61">
        <f>D261*1.2</f>
        <v>12034.8</v>
      </c>
      <c r="E265" s="62"/>
      <c r="F265" s="62"/>
      <c r="G265" s="62"/>
      <c r="H265" s="62"/>
      <c r="I265" s="62"/>
      <c r="J265" s="62"/>
      <c r="K265" s="62"/>
    </row>
    <row r="266" spans="1:11" s="63" customFormat="1" ht="13.8">
      <c r="A266" s="21"/>
      <c r="B266" s="75" t="s">
        <v>26</v>
      </c>
      <c r="C266" s="26" t="s">
        <v>17</v>
      </c>
      <c r="D266" s="61">
        <f>D261*0.05</f>
        <v>501.45000000000005</v>
      </c>
      <c r="E266" s="62"/>
      <c r="F266" s="62"/>
      <c r="G266" s="62"/>
      <c r="H266" s="62"/>
      <c r="I266" s="62"/>
      <c r="J266" s="62"/>
      <c r="K266" s="62"/>
    </row>
    <row r="267" spans="1:11" s="60" customFormat="1" ht="13.8">
      <c r="A267" s="21">
        <f>A261+1</f>
        <v>24</v>
      </c>
      <c r="B267" s="22" t="s">
        <v>94</v>
      </c>
      <c r="C267" s="21" t="s">
        <v>75</v>
      </c>
      <c r="D267" s="64">
        <f>D261</f>
        <v>10029</v>
      </c>
      <c r="E267" s="65"/>
      <c r="F267" s="65"/>
      <c r="G267" s="65"/>
      <c r="H267" s="65"/>
      <c r="I267" s="65"/>
      <c r="J267" s="65"/>
      <c r="K267" s="65"/>
    </row>
    <row r="268" spans="1:11" s="63" customFormat="1" ht="13.8">
      <c r="A268" s="21"/>
      <c r="B268" s="240" t="s">
        <v>14</v>
      </c>
      <c r="C268" s="21" t="s">
        <v>75</v>
      </c>
      <c r="D268" s="127">
        <f>D267</f>
        <v>10029</v>
      </c>
      <c r="E268" s="62"/>
      <c r="F268" s="62"/>
      <c r="G268" s="62"/>
      <c r="H268" s="62"/>
      <c r="I268" s="62"/>
      <c r="J268" s="62"/>
      <c r="K268" s="62"/>
    </row>
    <row r="269" spans="1:11" s="63" customFormat="1" ht="13.8">
      <c r="A269" s="21"/>
      <c r="B269" s="240" t="s">
        <v>16</v>
      </c>
      <c r="C269" s="73" t="s">
        <v>17</v>
      </c>
      <c r="D269" s="73">
        <f>D267*0.065</f>
        <v>651.88499999999999</v>
      </c>
      <c r="E269" s="62"/>
      <c r="F269" s="62"/>
      <c r="G269" s="62"/>
      <c r="H269" s="62"/>
      <c r="I269" s="62"/>
      <c r="J269" s="62"/>
      <c r="K269" s="62"/>
    </row>
    <row r="270" spans="1:11" s="63" customFormat="1" ht="13.8">
      <c r="A270" s="21"/>
      <c r="B270" s="240" t="s">
        <v>72</v>
      </c>
      <c r="C270" s="73"/>
      <c r="D270" s="73"/>
      <c r="E270" s="62"/>
      <c r="F270" s="62"/>
      <c r="G270" s="62"/>
      <c r="H270" s="62"/>
      <c r="I270" s="62"/>
      <c r="J270" s="62"/>
      <c r="K270" s="62"/>
    </row>
    <row r="271" spans="1:11" s="63" customFormat="1" ht="13.8">
      <c r="A271" s="21"/>
      <c r="B271" s="240" t="s">
        <v>95</v>
      </c>
      <c r="C271" s="73" t="s">
        <v>19</v>
      </c>
      <c r="D271" s="73">
        <f>D267*0.75</f>
        <v>7521.75</v>
      </c>
      <c r="E271" s="62"/>
      <c r="F271" s="62"/>
      <c r="G271" s="62"/>
      <c r="H271" s="62"/>
      <c r="I271" s="62"/>
      <c r="J271" s="62"/>
      <c r="K271" s="62"/>
    </row>
    <row r="272" spans="1:11" s="63" customFormat="1" ht="13.8">
      <c r="A272" s="21"/>
      <c r="B272" s="240" t="s">
        <v>26</v>
      </c>
      <c r="C272" s="73" t="s">
        <v>17</v>
      </c>
      <c r="D272" s="127">
        <f>D267*0.08</f>
        <v>802.32</v>
      </c>
      <c r="E272" s="62"/>
      <c r="F272" s="62"/>
      <c r="G272" s="62"/>
      <c r="H272" s="62"/>
      <c r="I272" s="62"/>
      <c r="J272" s="62"/>
      <c r="K272" s="62"/>
    </row>
    <row r="273" spans="1:11" s="60" customFormat="1" ht="13.8">
      <c r="A273" s="21">
        <f>A267+1</f>
        <v>25</v>
      </c>
      <c r="B273" s="22" t="s">
        <v>555</v>
      </c>
      <c r="C273" s="21" t="s">
        <v>75</v>
      </c>
      <c r="D273" s="64">
        <f>D94</f>
        <v>3306</v>
      </c>
      <c r="E273" s="65"/>
      <c r="F273" s="65"/>
      <c r="G273" s="65"/>
      <c r="H273" s="65"/>
      <c r="I273" s="65"/>
      <c r="J273" s="65"/>
      <c r="K273" s="65"/>
    </row>
    <row r="274" spans="1:11" s="63" customFormat="1" ht="13.8">
      <c r="A274" s="21"/>
      <c r="B274" s="240" t="s">
        <v>14</v>
      </c>
      <c r="C274" s="21" t="s">
        <v>75</v>
      </c>
      <c r="D274" s="127">
        <f>D273</f>
        <v>3306</v>
      </c>
      <c r="E274" s="62"/>
      <c r="F274" s="62"/>
      <c r="G274" s="62"/>
      <c r="H274" s="62"/>
      <c r="I274" s="62"/>
      <c r="J274" s="62"/>
      <c r="K274" s="62"/>
    </row>
    <row r="275" spans="1:11" s="63" customFormat="1" ht="13.8">
      <c r="A275" s="21"/>
      <c r="B275" s="240" t="s">
        <v>16</v>
      </c>
      <c r="C275" s="73" t="s">
        <v>17</v>
      </c>
      <c r="D275" s="73">
        <f>D273*0.07</f>
        <v>231.42000000000002</v>
      </c>
      <c r="E275" s="62"/>
      <c r="F275" s="62"/>
      <c r="G275" s="62"/>
      <c r="H275" s="62"/>
      <c r="I275" s="62"/>
      <c r="J275" s="62"/>
      <c r="K275" s="62"/>
    </row>
    <row r="276" spans="1:11" s="63" customFormat="1" ht="13.8">
      <c r="A276" s="21"/>
      <c r="B276" s="240" t="s">
        <v>72</v>
      </c>
      <c r="C276" s="73"/>
      <c r="D276" s="73"/>
      <c r="E276" s="62"/>
      <c r="F276" s="62"/>
      <c r="G276" s="62"/>
      <c r="H276" s="62"/>
      <c r="I276" s="62"/>
      <c r="J276" s="62"/>
      <c r="K276" s="62"/>
    </row>
    <row r="277" spans="1:11" s="63" customFormat="1" ht="13.8">
      <c r="A277" s="21"/>
      <c r="B277" s="240" t="s">
        <v>556</v>
      </c>
      <c r="C277" s="73" t="s">
        <v>19</v>
      </c>
      <c r="D277" s="73">
        <f>D273*0.65</f>
        <v>2148.9</v>
      </c>
      <c r="E277" s="62"/>
      <c r="F277" s="62"/>
      <c r="G277" s="62"/>
      <c r="H277" s="62"/>
      <c r="I277" s="62"/>
      <c r="J277" s="62"/>
      <c r="K277" s="62"/>
    </row>
    <row r="278" spans="1:11" s="63" customFormat="1" ht="13.8">
      <c r="A278" s="21"/>
      <c r="B278" s="240" t="s">
        <v>26</v>
      </c>
      <c r="C278" s="73" t="s">
        <v>17</v>
      </c>
      <c r="D278" s="127">
        <f>D273*0.08</f>
        <v>264.48</v>
      </c>
      <c r="E278" s="62"/>
      <c r="F278" s="62"/>
      <c r="G278" s="62"/>
      <c r="H278" s="62"/>
      <c r="I278" s="62"/>
      <c r="J278" s="62"/>
      <c r="K278" s="62"/>
    </row>
    <row r="279" spans="1:11" s="60" customFormat="1" ht="13.8">
      <c r="A279" s="21">
        <f>A267+1</f>
        <v>25</v>
      </c>
      <c r="B279" s="22" t="s">
        <v>549</v>
      </c>
      <c r="C279" s="21" t="s">
        <v>31</v>
      </c>
      <c r="D279" s="64">
        <v>38</v>
      </c>
      <c r="E279" s="65"/>
      <c r="F279" s="65"/>
      <c r="G279" s="65"/>
      <c r="H279" s="65"/>
      <c r="I279" s="65"/>
      <c r="J279" s="65"/>
      <c r="K279" s="65"/>
    </row>
    <row r="280" spans="1:11" s="63" customFormat="1" ht="13.8">
      <c r="A280" s="21"/>
      <c r="B280" s="24" t="s">
        <v>14</v>
      </c>
      <c r="C280" s="26" t="s">
        <v>31</v>
      </c>
      <c r="D280" s="61">
        <f>D279</f>
        <v>38</v>
      </c>
      <c r="E280" s="62"/>
      <c r="F280" s="62"/>
      <c r="G280" s="62"/>
      <c r="H280" s="62"/>
      <c r="I280" s="62"/>
      <c r="J280" s="62"/>
      <c r="K280" s="62"/>
    </row>
    <row r="281" spans="1:11" s="63" customFormat="1" ht="13.8">
      <c r="A281" s="21"/>
      <c r="B281" s="24" t="s">
        <v>72</v>
      </c>
      <c r="C281" s="26"/>
      <c r="D281" s="61"/>
      <c r="E281" s="62"/>
      <c r="F281" s="62"/>
      <c r="G281" s="62"/>
      <c r="H281" s="62"/>
      <c r="I281" s="62"/>
      <c r="J281" s="62"/>
      <c r="K281" s="62"/>
    </row>
    <row r="282" spans="1:11" s="63" customFormat="1" ht="13.8">
      <c r="A282" s="21"/>
      <c r="B282" s="24" t="s">
        <v>126</v>
      </c>
      <c r="C282" s="26" t="s">
        <v>31</v>
      </c>
      <c r="D282" s="61">
        <f>D280</f>
        <v>38</v>
      </c>
      <c r="E282" s="62"/>
      <c r="F282" s="62"/>
      <c r="G282" s="62"/>
      <c r="H282" s="62"/>
      <c r="I282" s="62"/>
      <c r="J282" s="62"/>
      <c r="K282" s="62"/>
    </row>
    <row r="283" spans="1:11" s="60" customFormat="1" ht="13.8">
      <c r="A283" s="21">
        <f>A279+1</f>
        <v>26</v>
      </c>
      <c r="B283" s="22" t="s">
        <v>550</v>
      </c>
      <c r="C283" s="21" t="s">
        <v>31</v>
      </c>
      <c r="D283" s="64">
        <v>57</v>
      </c>
      <c r="E283" s="65"/>
      <c r="F283" s="65"/>
      <c r="G283" s="65"/>
      <c r="H283" s="65"/>
      <c r="I283" s="65"/>
      <c r="J283" s="65"/>
      <c r="K283" s="65"/>
    </row>
    <row r="284" spans="1:11" s="63" customFormat="1" ht="13.8">
      <c r="A284" s="21"/>
      <c r="B284" s="24" t="s">
        <v>14</v>
      </c>
      <c r="C284" s="26" t="s">
        <v>31</v>
      </c>
      <c r="D284" s="61">
        <f>D283</f>
        <v>57</v>
      </c>
      <c r="E284" s="62"/>
      <c r="F284" s="62"/>
      <c r="G284" s="62"/>
      <c r="H284" s="62"/>
      <c r="I284" s="62"/>
      <c r="J284" s="62"/>
      <c r="K284" s="62"/>
    </row>
    <row r="285" spans="1:11" s="63" customFormat="1" ht="13.8">
      <c r="A285" s="21"/>
      <c r="B285" s="24" t="s">
        <v>72</v>
      </c>
      <c r="C285" s="26"/>
      <c r="D285" s="61"/>
      <c r="E285" s="62"/>
      <c r="F285" s="62"/>
      <c r="G285" s="62"/>
      <c r="H285" s="62"/>
      <c r="I285" s="62"/>
      <c r="J285" s="62"/>
      <c r="K285" s="62"/>
    </row>
    <row r="286" spans="1:11" s="63" customFormat="1" ht="13.8">
      <c r="A286" s="21"/>
      <c r="B286" s="24" t="s">
        <v>551</v>
      </c>
      <c r="C286" s="26" t="s">
        <v>31</v>
      </c>
      <c r="D286" s="61">
        <f>D284</f>
        <v>57</v>
      </c>
      <c r="E286" s="62"/>
      <c r="F286" s="62"/>
      <c r="G286" s="62"/>
      <c r="H286" s="62"/>
      <c r="I286" s="62"/>
      <c r="J286" s="62"/>
      <c r="K286" s="62"/>
    </row>
    <row r="287" spans="1:11" s="60" customFormat="1" ht="13.8">
      <c r="A287" s="21">
        <f>A283+1</f>
        <v>27</v>
      </c>
      <c r="B287" s="22" t="s">
        <v>124</v>
      </c>
      <c r="C287" s="21" t="s">
        <v>31</v>
      </c>
      <c r="D287" s="64">
        <v>4</v>
      </c>
      <c r="E287" s="65"/>
      <c r="F287" s="65"/>
      <c r="G287" s="65"/>
      <c r="H287" s="65"/>
      <c r="I287" s="65"/>
      <c r="J287" s="65"/>
      <c r="K287" s="65"/>
    </row>
    <row r="288" spans="1:11" s="63" customFormat="1" ht="13.8">
      <c r="A288" s="21"/>
      <c r="B288" s="24" t="s">
        <v>14</v>
      </c>
      <c r="C288" s="26" t="s">
        <v>31</v>
      </c>
      <c r="D288" s="61">
        <f>D287</f>
        <v>4</v>
      </c>
      <c r="E288" s="62"/>
      <c r="F288" s="62"/>
      <c r="G288" s="62"/>
      <c r="H288" s="62"/>
      <c r="I288" s="62"/>
      <c r="J288" s="62"/>
      <c r="K288" s="62"/>
    </row>
    <row r="289" spans="1:11" s="63" customFormat="1" ht="13.8">
      <c r="A289" s="21"/>
      <c r="B289" s="24" t="s">
        <v>72</v>
      </c>
      <c r="C289" s="26"/>
      <c r="D289" s="61"/>
      <c r="E289" s="62"/>
      <c r="F289" s="62"/>
      <c r="G289" s="62"/>
      <c r="H289" s="62"/>
      <c r="I289" s="62"/>
      <c r="J289" s="62"/>
      <c r="K289" s="62"/>
    </row>
    <row r="290" spans="1:11" s="63" customFormat="1" ht="13.8">
      <c r="A290" s="21"/>
      <c r="B290" s="24" t="s">
        <v>127</v>
      </c>
      <c r="C290" s="26" t="s">
        <v>31</v>
      </c>
      <c r="D290" s="61">
        <f>D288</f>
        <v>4</v>
      </c>
      <c r="E290" s="62"/>
      <c r="F290" s="62"/>
      <c r="G290" s="62"/>
      <c r="H290" s="62"/>
      <c r="I290" s="62"/>
      <c r="J290" s="62"/>
      <c r="K290" s="62"/>
    </row>
    <row r="291" spans="1:11" s="60" customFormat="1" ht="27.6">
      <c r="A291" s="21">
        <f>A287+1</f>
        <v>28</v>
      </c>
      <c r="B291" s="22" t="s">
        <v>125</v>
      </c>
      <c r="C291" s="21" t="s">
        <v>31</v>
      </c>
      <c r="D291" s="64">
        <v>15</v>
      </c>
      <c r="E291" s="65"/>
      <c r="F291" s="65"/>
      <c r="G291" s="65"/>
      <c r="H291" s="65"/>
      <c r="I291" s="65"/>
      <c r="J291" s="65"/>
      <c r="K291" s="65"/>
    </row>
    <row r="292" spans="1:11" s="63" customFormat="1" ht="13.8">
      <c r="A292" s="21"/>
      <c r="B292" s="24" t="s">
        <v>14</v>
      </c>
      <c r="C292" s="26" t="str">
        <f>C286</f>
        <v>ცალი</v>
      </c>
      <c r="D292" s="61">
        <f>D291</f>
        <v>15</v>
      </c>
      <c r="E292" s="62"/>
      <c r="F292" s="62"/>
      <c r="G292" s="62"/>
      <c r="H292" s="62"/>
      <c r="I292" s="62"/>
      <c r="J292" s="62"/>
      <c r="K292" s="62"/>
    </row>
    <row r="293" spans="1:11" s="63" customFormat="1" ht="13.8">
      <c r="A293" s="21"/>
      <c r="B293" s="24" t="s">
        <v>72</v>
      </c>
      <c r="C293" s="26"/>
      <c r="D293" s="61"/>
      <c r="E293" s="62"/>
      <c r="F293" s="62"/>
      <c r="G293" s="62"/>
      <c r="H293" s="62"/>
      <c r="I293" s="62"/>
      <c r="J293" s="62"/>
      <c r="K293" s="62"/>
    </row>
    <row r="294" spans="1:11" s="63" customFormat="1" ht="13.8">
      <c r="A294" s="21"/>
      <c r="B294" s="24" t="s">
        <v>128</v>
      </c>
      <c r="C294" s="26" t="str">
        <f>C292</f>
        <v>ცალი</v>
      </c>
      <c r="D294" s="61">
        <f>D292</f>
        <v>15</v>
      </c>
      <c r="E294" s="62"/>
      <c r="F294" s="62"/>
      <c r="G294" s="62"/>
      <c r="H294" s="62"/>
      <c r="I294" s="62"/>
      <c r="J294" s="62"/>
      <c r="K294" s="62"/>
    </row>
    <row r="295" spans="1:11" s="60" customFormat="1" ht="13.8">
      <c r="A295" s="21">
        <f>A291+1</f>
        <v>29</v>
      </c>
      <c r="B295" s="22" t="s">
        <v>129</v>
      </c>
      <c r="C295" s="21" t="s">
        <v>31</v>
      </c>
      <c r="D295" s="64">
        <v>11</v>
      </c>
      <c r="E295" s="65"/>
      <c r="F295" s="65"/>
      <c r="G295" s="65"/>
      <c r="H295" s="65"/>
      <c r="I295" s="65"/>
      <c r="J295" s="65"/>
      <c r="K295" s="65"/>
    </row>
    <row r="296" spans="1:11" s="63" customFormat="1" ht="13.8">
      <c r="A296" s="21"/>
      <c r="B296" s="24" t="s">
        <v>14</v>
      </c>
      <c r="C296" s="26" t="s">
        <v>31</v>
      </c>
      <c r="D296" s="61">
        <f>D295</f>
        <v>11</v>
      </c>
      <c r="E296" s="62"/>
      <c r="F296" s="62"/>
      <c r="G296" s="62"/>
      <c r="H296" s="62"/>
      <c r="I296" s="62"/>
      <c r="J296" s="62"/>
      <c r="K296" s="62"/>
    </row>
    <row r="297" spans="1:11" s="63" customFormat="1" ht="13.8">
      <c r="A297" s="21"/>
      <c r="B297" s="24" t="s">
        <v>72</v>
      </c>
      <c r="C297" s="26"/>
      <c r="D297" s="61"/>
      <c r="E297" s="62"/>
      <c r="F297" s="62"/>
      <c r="G297" s="62"/>
      <c r="H297" s="62"/>
      <c r="I297" s="62"/>
      <c r="J297" s="62"/>
      <c r="K297" s="62"/>
    </row>
    <row r="298" spans="1:11" s="63" customFormat="1" ht="13.8">
      <c r="A298" s="21"/>
      <c r="B298" s="24" t="s">
        <v>130</v>
      </c>
      <c r="C298" s="26" t="str">
        <f>C296</f>
        <v>ცალი</v>
      </c>
      <c r="D298" s="61">
        <f>D296</f>
        <v>11</v>
      </c>
      <c r="E298" s="62"/>
      <c r="F298" s="62"/>
      <c r="G298" s="62"/>
      <c r="H298" s="62"/>
      <c r="I298" s="62"/>
      <c r="J298" s="62"/>
      <c r="K298" s="62"/>
    </row>
    <row r="299" spans="1:11" s="60" customFormat="1" ht="13.8">
      <c r="A299" s="21">
        <f>A295+1</f>
        <v>30</v>
      </c>
      <c r="B299" s="22" t="s">
        <v>131</v>
      </c>
      <c r="C299" s="21" t="s">
        <v>82</v>
      </c>
      <c r="D299" s="64">
        <v>3100</v>
      </c>
      <c r="E299" s="65"/>
      <c r="F299" s="65"/>
      <c r="G299" s="65"/>
      <c r="H299" s="65"/>
      <c r="I299" s="65"/>
      <c r="J299" s="65"/>
      <c r="K299" s="65"/>
    </row>
    <row r="300" spans="1:11" s="63" customFormat="1" ht="13.8">
      <c r="A300" s="21"/>
      <c r="B300" s="24" t="s">
        <v>14</v>
      </c>
      <c r="C300" s="26" t="s">
        <v>82</v>
      </c>
      <c r="D300" s="61">
        <f>D299</f>
        <v>3100</v>
      </c>
      <c r="E300" s="62"/>
      <c r="F300" s="62"/>
      <c r="G300" s="62"/>
      <c r="H300" s="62"/>
      <c r="I300" s="62"/>
      <c r="J300" s="62"/>
      <c r="K300" s="62"/>
    </row>
    <row r="301" spans="1:11" s="63" customFormat="1" ht="13.8">
      <c r="A301" s="21"/>
      <c r="B301" s="24" t="s">
        <v>72</v>
      </c>
      <c r="C301" s="26"/>
      <c r="D301" s="61"/>
      <c r="E301" s="62"/>
      <c r="F301" s="62"/>
      <c r="G301" s="62"/>
      <c r="H301" s="62"/>
      <c r="I301" s="62"/>
      <c r="J301" s="62"/>
      <c r="K301" s="62"/>
    </row>
    <row r="302" spans="1:11" s="63" customFormat="1" ht="13.8">
      <c r="A302" s="21"/>
      <c r="B302" s="24" t="s">
        <v>40</v>
      </c>
      <c r="C302" s="26" t="s">
        <v>65</v>
      </c>
      <c r="D302" s="61">
        <f>D299*1.02</f>
        <v>3162</v>
      </c>
      <c r="E302" s="62"/>
      <c r="F302" s="62"/>
      <c r="G302" s="62"/>
      <c r="H302" s="62"/>
      <c r="I302" s="62"/>
      <c r="J302" s="62"/>
      <c r="K302" s="62"/>
    </row>
    <row r="303" spans="1:11" s="63" customFormat="1" ht="13.8">
      <c r="A303" s="21"/>
      <c r="B303" s="24" t="s">
        <v>91</v>
      </c>
      <c r="C303" s="26" t="s">
        <v>19</v>
      </c>
      <c r="D303" s="61">
        <f>D299*0.58</f>
        <v>1797.9999999999998</v>
      </c>
      <c r="E303" s="62"/>
      <c r="F303" s="62"/>
      <c r="G303" s="62"/>
      <c r="H303" s="62"/>
      <c r="I303" s="62"/>
      <c r="J303" s="62"/>
      <c r="K303" s="62"/>
    </row>
    <row r="304" spans="1:11" s="60" customFormat="1" ht="13.8">
      <c r="A304" s="21">
        <f>A299+1</f>
        <v>31</v>
      </c>
      <c r="B304" s="22" t="s">
        <v>96</v>
      </c>
      <c r="C304" s="21" t="s">
        <v>80</v>
      </c>
      <c r="D304" s="64">
        <v>150</v>
      </c>
      <c r="E304" s="65"/>
      <c r="F304" s="65"/>
      <c r="G304" s="65"/>
      <c r="H304" s="65"/>
      <c r="I304" s="65"/>
      <c r="J304" s="65"/>
      <c r="K304" s="65"/>
    </row>
    <row r="305" spans="1:11" s="63" customFormat="1" ht="13.8">
      <c r="A305" s="21"/>
      <c r="B305" s="24" t="s">
        <v>14</v>
      </c>
      <c r="C305" s="26" t="s">
        <v>80</v>
      </c>
      <c r="D305" s="61">
        <f>D304</f>
        <v>150</v>
      </c>
      <c r="E305" s="62"/>
      <c r="F305" s="62"/>
      <c r="G305" s="62"/>
      <c r="H305" s="62"/>
      <c r="I305" s="62"/>
      <c r="J305" s="62"/>
      <c r="K305" s="62"/>
    </row>
    <row r="306" spans="1:11" s="63" customFormat="1" ht="13.8">
      <c r="A306" s="21"/>
      <c r="B306" s="24" t="s">
        <v>26</v>
      </c>
      <c r="C306" s="26" t="s">
        <v>17</v>
      </c>
      <c r="D306" s="61">
        <f>D304*0.032</f>
        <v>4.8</v>
      </c>
      <c r="E306" s="62"/>
      <c r="F306" s="62"/>
      <c r="G306" s="62"/>
      <c r="H306" s="62"/>
      <c r="I306" s="62"/>
      <c r="J306" s="62"/>
      <c r="K306" s="62"/>
    </row>
    <row r="307" spans="1:11" s="63" customFormat="1" ht="13.8">
      <c r="A307" s="21"/>
      <c r="B307" s="24" t="s">
        <v>18</v>
      </c>
      <c r="C307" s="26"/>
      <c r="D307" s="61"/>
      <c r="E307" s="62"/>
      <c r="F307" s="62"/>
      <c r="G307" s="62"/>
      <c r="H307" s="62"/>
      <c r="I307" s="62"/>
      <c r="J307" s="62"/>
      <c r="K307" s="62"/>
    </row>
    <row r="308" spans="1:11" s="63" customFormat="1" ht="13.8">
      <c r="A308" s="21"/>
      <c r="B308" s="24" t="s">
        <v>548</v>
      </c>
      <c r="C308" s="26" t="s">
        <v>80</v>
      </c>
      <c r="D308" s="61">
        <f>D304*1.02</f>
        <v>153</v>
      </c>
      <c r="E308" s="62"/>
      <c r="F308" s="62"/>
      <c r="G308" s="62"/>
      <c r="H308" s="62"/>
      <c r="I308" s="62"/>
      <c r="J308" s="62"/>
      <c r="K308" s="62"/>
    </row>
    <row r="309" spans="1:11" s="63" customFormat="1" ht="13.8">
      <c r="A309" s="21"/>
      <c r="B309" s="24" t="s">
        <v>91</v>
      </c>
      <c r="C309" s="26" t="s">
        <v>19</v>
      </c>
      <c r="D309" s="61">
        <f>D304*6</f>
        <v>900</v>
      </c>
      <c r="E309" s="62"/>
      <c r="F309" s="62"/>
      <c r="G309" s="62"/>
      <c r="H309" s="62"/>
      <c r="I309" s="62"/>
      <c r="J309" s="62"/>
      <c r="K309" s="62"/>
    </row>
    <row r="310" spans="1:11" s="63" customFormat="1" ht="13.8">
      <c r="A310" s="21"/>
      <c r="B310" s="24" t="s">
        <v>26</v>
      </c>
      <c r="C310" s="26" t="s">
        <v>17</v>
      </c>
      <c r="D310" s="61">
        <f>D304*0.19</f>
        <v>28.5</v>
      </c>
      <c r="E310" s="62"/>
      <c r="F310" s="62"/>
      <c r="G310" s="62"/>
      <c r="H310" s="62"/>
      <c r="I310" s="62"/>
      <c r="J310" s="62"/>
      <c r="K310" s="62"/>
    </row>
    <row r="311" spans="1:11" s="60" customFormat="1" ht="27.6">
      <c r="A311" s="21">
        <f>A304+1</f>
        <v>32</v>
      </c>
      <c r="B311" s="22" t="s">
        <v>571</v>
      </c>
      <c r="C311" s="21" t="s">
        <v>80</v>
      </c>
      <c r="D311" s="64">
        <f>100*0.22</f>
        <v>22</v>
      </c>
      <c r="E311" s="65"/>
      <c r="F311" s="65"/>
      <c r="G311" s="65"/>
      <c r="H311" s="65"/>
      <c r="I311" s="65"/>
      <c r="J311" s="65"/>
      <c r="K311" s="65"/>
    </row>
    <row r="312" spans="1:11" s="63" customFormat="1" ht="13.8">
      <c r="A312" s="21"/>
      <c r="B312" s="24" t="s">
        <v>14</v>
      </c>
      <c r="C312" s="26" t="s">
        <v>80</v>
      </c>
      <c r="D312" s="61">
        <f>D311</f>
        <v>22</v>
      </c>
      <c r="E312" s="62"/>
      <c r="F312" s="62"/>
      <c r="G312" s="62"/>
      <c r="H312" s="62"/>
      <c r="I312" s="62"/>
      <c r="J312" s="62"/>
      <c r="K312" s="62"/>
    </row>
    <row r="313" spans="1:11" s="63" customFormat="1" ht="13.8">
      <c r="A313" s="21"/>
      <c r="B313" s="24" t="s">
        <v>26</v>
      </c>
      <c r="C313" s="26" t="s">
        <v>17</v>
      </c>
      <c r="D313" s="61">
        <f>D311*0.032</f>
        <v>0.70399999999999996</v>
      </c>
      <c r="E313" s="62"/>
      <c r="F313" s="62"/>
      <c r="G313" s="62"/>
      <c r="H313" s="62"/>
      <c r="I313" s="62"/>
      <c r="J313" s="62"/>
      <c r="K313" s="62"/>
    </row>
    <row r="314" spans="1:11" s="63" customFormat="1" ht="13.8">
      <c r="A314" s="21"/>
      <c r="B314" s="24" t="s">
        <v>18</v>
      </c>
      <c r="C314" s="26"/>
      <c r="D314" s="61"/>
      <c r="E314" s="62"/>
      <c r="F314" s="62"/>
      <c r="G314" s="62"/>
      <c r="H314" s="62"/>
      <c r="I314" s="62"/>
      <c r="J314" s="62"/>
      <c r="K314" s="62"/>
    </row>
    <row r="315" spans="1:11" s="63" customFormat="1" ht="13.8">
      <c r="A315" s="21"/>
      <c r="B315" s="24" t="s">
        <v>569</v>
      </c>
      <c r="C315" s="26" t="s">
        <v>80</v>
      </c>
      <c r="D315" s="61">
        <f>D311*1.08</f>
        <v>23.76</v>
      </c>
      <c r="E315" s="62"/>
      <c r="F315" s="62"/>
      <c r="G315" s="62"/>
      <c r="H315" s="62"/>
      <c r="I315" s="62"/>
      <c r="J315" s="62"/>
      <c r="K315" s="62"/>
    </row>
    <row r="316" spans="1:11" s="63" customFormat="1" ht="13.8">
      <c r="A316" s="21"/>
      <c r="B316" s="24" t="s">
        <v>570</v>
      </c>
      <c r="C316" s="26" t="s">
        <v>19</v>
      </c>
      <c r="D316" s="61">
        <f>D311*6</f>
        <v>132</v>
      </c>
      <c r="E316" s="62"/>
      <c r="F316" s="62"/>
      <c r="G316" s="62"/>
      <c r="H316" s="62"/>
      <c r="I316" s="62"/>
      <c r="J316" s="62"/>
      <c r="K316" s="62"/>
    </row>
    <row r="317" spans="1:11" s="63" customFormat="1" ht="13.8">
      <c r="A317" s="21"/>
      <c r="B317" s="24" t="s">
        <v>26</v>
      </c>
      <c r="C317" s="26" t="s">
        <v>17</v>
      </c>
      <c r="D317" s="61">
        <f>D311*0.19</f>
        <v>4.18</v>
      </c>
      <c r="E317" s="62"/>
      <c r="F317" s="62"/>
      <c r="G317" s="62"/>
      <c r="H317" s="62"/>
      <c r="I317" s="62"/>
      <c r="J317" s="62"/>
      <c r="K317" s="62"/>
    </row>
    <row r="318" spans="1:11" s="60" customFormat="1" ht="13.8">
      <c r="A318" s="21">
        <f>A311+1</f>
        <v>33</v>
      </c>
      <c r="B318" s="22" t="s">
        <v>98</v>
      </c>
      <c r="C318" s="21" t="s">
        <v>65</v>
      </c>
      <c r="D318" s="64">
        <v>400</v>
      </c>
      <c r="E318" s="65"/>
      <c r="F318" s="65"/>
      <c r="G318" s="65"/>
      <c r="H318" s="65"/>
      <c r="I318" s="65"/>
      <c r="J318" s="65"/>
      <c r="K318" s="65"/>
    </row>
    <row r="319" spans="1:11" s="63" customFormat="1" ht="13.8">
      <c r="A319" s="21"/>
      <c r="B319" s="24" t="s">
        <v>14</v>
      </c>
      <c r="C319" s="26" t="s">
        <v>65</v>
      </c>
      <c r="D319" s="61">
        <f>D318</f>
        <v>400</v>
      </c>
      <c r="E319" s="62"/>
      <c r="F319" s="62"/>
      <c r="G319" s="62"/>
      <c r="H319" s="62"/>
      <c r="I319" s="62"/>
      <c r="J319" s="62"/>
      <c r="K319" s="62"/>
    </row>
    <row r="320" spans="1:11" s="63" customFormat="1" ht="13.8">
      <c r="A320" s="21"/>
      <c r="B320" s="24" t="s">
        <v>18</v>
      </c>
      <c r="C320" s="26"/>
      <c r="D320" s="61"/>
      <c r="E320" s="62"/>
      <c r="F320" s="62"/>
      <c r="G320" s="62"/>
      <c r="H320" s="62"/>
      <c r="I320" s="62"/>
      <c r="J320" s="62"/>
      <c r="K320" s="62"/>
    </row>
    <row r="321" spans="1:12" s="63" customFormat="1" ht="13.8">
      <c r="A321" s="21"/>
      <c r="B321" s="24" t="s">
        <v>35</v>
      </c>
      <c r="C321" s="26" t="s">
        <v>80</v>
      </c>
      <c r="D321" s="61">
        <f>D318*0.2</f>
        <v>80</v>
      </c>
      <c r="E321" s="62"/>
      <c r="F321" s="62"/>
      <c r="G321" s="62"/>
      <c r="H321" s="62"/>
      <c r="I321" s="62"/>
      <c r="J321" s="62"/>
      <c r="K321" s="62"/>
    </row>
    <row r="322" spans="1:12" s="63" customFormat="1" ht="13.8">
      <c r="A322" s="21"/>
      <c r="B322" s="24" t="s">
        <v>99</v>
      </c>
      <c r="C322" s="26" t="s">
        <v>31</v>
      </c>
      <c r="D322" s="61">
        <f>D321*6</f>
        <v>480</v>
      </c>
      <c r="E322" s="62"/>
      <c r="F322" s="62"/>
      <c r="G322" s="62"/>
      <c r="H322" s="62"/>
      <c r="I322" s="62"/>
      <c r="J322" s="62"/>
      <c r="K322" s="62"/>
    </row>
    <row r="323" spans="1:12" s="63" customFormat="1" ht="13.8">
      <c r="A323" s="21"/>
      <c r="B323" s="24" t="s">
        <v>26</v>
      </c>
      <c r="C323" s="26" t="s">
        <v>17</v>
      </c>
      <c r="D323" s="61">
        <f>D318*0.014</f>
        <v>5.6000000000000005</v>
      </c>
      <c r="E323" s="62"/>
      <c r="F323" s="62"/>
      <c r="G323" s="62"/>
      <c r="H323" s="62"/>
      <c r="I323" s="62"/>
      <c r="J323" s="62"/>
      <c r="K323" s="62"/>
    </row>
    <row r="324" spans="1:12" s="60" customFormat="1" ht="13.8">
      <c r="A324" s="21">
        <v>34</v>
      </c>
      <c r="B324" s="28" t="s">
        <v>577</v>
      </c>
      <c r="C324" s="241" t="s">
        <v>31</v>
      </c>
      <c r="D324" s="30">
        <v>1</v>
      </c>
      <c r="E324" s="65"/>
      <c r="F324" s="65"/>
      <c r="G324" s="65"/>
      <c r="H324" s="65"/>
      <c r="I324" s="65"/>
      <c r="J324" s="65"/>
      <c r="K324" s="65"/>
    </row>
    <row r="325" spans="1:12" s="60" customFormat="1" ht="13.8">
      <c r="A325" s="21">
        <v>35</v>
      </c>
      <c r="B325" s="28" t="s">
        <v>142</v>
      </c>
      <c r="C325" s="241" t="s">
        <v>143</v>
      </c>
      <c r="D325" s="30">
        <v>6</v>
      </c>
      <c r="E325" s="65"/>
      <c r="F325" s="65"/>
      <c r="G325" s="65"/>
      <c r="H325" s="65"/>
      <c r="I325" s="65"/>
      <c r="J325" s="65"/>
      <c r="K325" s="65"/>
    </row>
    <row r="326" spans="1:12" s="60" customFormat="1" ht="13.8">
      <c r="A326" s="21">
        <v>36</v>
      </c>
      <c r="B326" s="28" t="s">
        <v>144</v>
      </c>
      <c r="C326" s="241" t="s">
        <v>145</v>
      </c>
      <c r="D326" s="30">
        <v>20</v>
      </c>
      <c r="E326" s="65"/>
      <c r="F326" s="65"/>
      <c r="G326" s="65"/>
      <c r="H326" s="65"/>
      <c r="I326" s="65"/>
      <c r="J326" s="65"/>
      <c r="K326" s="65"/>
    </row>
    <row r="327" spans="1:12" s="60" customFormat="1" ht="13.8">
      <c r="A327" s="21">
        <v>37</v>
      </c>
      <c r="B327" s="28" t="s">
        <v>146</v>
      </c>
      <c r="C327" s="241" t="s">
        <v>145</v>
      </c>
      <c r="D327" s="30">
        <f>180*2</f>
        <v>360</v>
      </c>
      <c r="E327" s="65"/>
      <c r="F327" s="65"/>
      <c r="G327" s="65"/>
      <c r="H327" s="65"/>
      <c r="I327" s="65"/>
      <c r="J327" s="65"/>
      <c r="K327" s="65"/>
    </row>
    <row r="328" spans="1:12" s="66" customFormat="1" ht="27.6">
      <c r="A328" s="21">
        <v>38</v>
      </c>
      <c r="B328" s="22" t="s">
        <v>573</v>
      </c>
      <c r="C328" s="21" t="s">
        <v>75</v>
      </c>
      <c r="D328" s="64">
        <v>1000</v>
      </c>
      <c r="E328" s="65"/>
      <c r="F328" s="65"/>
      <c r="G328" s="65"/>
      <c r="H328" s="65"/>
      <c r="I328" s="65"/>
      <c r="J328" s="65"/>
      <c r="K328" s="65"/>
    </row>
    <row r="329" spans="1:12" s="66" customFormat="1" ht="13.8">
      <c r="A329" s="21">
        <v>39</v>
      </c>
      <c r="B329" s="22" t="s">
        <v>572</v>
      </c>
      <c r="C329" s="21" t="s">
        <v>31</v>
      </c>
      <c r="D329" s="64">
        <v>28</v>
      </c>
      <c r="E329" s="65"/>
      <c r="F329" s="65"/>
      <c r="G329" s="65"/>
      <c r="H329" s="65"/>
      <c r="I329" s="65"/>
      <c r="J329" s="65"/>
      <c r="K329" s="65"/>
    </row>
    <row r="330" spans="1:12" s="204" customFormat="1">
      <c r="A330" s="248"/>
      <c r="B330" s="249" t="s">
        <v>537</v>
      </c>
      <c r="C330" s="248"/>
      <c r="D330" s="250"/>
      <c r="E330" s="251"/>
      <c r="F330" s="251"/>
      <c r="G330" s="251"/>
      <c r="H330" s="251"/>
      <c r="I330" s="251"/>
      <c r="J330" s="251"/>
      <c r="K330" s="251"/>
    </row>
    <row r="331" spans="1:12" s="204" customFormat="1">
      <c r="A331" s="27">
        <v>1</v>
      </c>
      <c r="B331" s="28" t="s">
        <v>557</v>
      </c>
      <c r="C331" s="21" t="s">
        <v>21</v>
      </c>
      <c r="D331" s="30">
        <v>400</v>
      </c>
      <c r="E331" s="31"/>
      <c r="F331" s="31"/>
      <c r="G331" s="31"/>
      <c r="H331" s="31"/>
      <c r="I331" s="31"/>
      <c r="J331" s="31"/>
      <c r="K331" s="205"/>
      <c r="L331" s="286"/>
    </row>
    <row r="332" spans="1:12" s="204" customFormat="1">
      <c r="A332" s="27"/>
      <c r="B332" s="34" t="s">
        <v>14</v>
      </c>
      <c r="C332" s="26" t="s">
        <v>21</v>
      </c>
      <c r="D332" s="36">
        <f>D331*0.25</f>
        <v>100</v>
      </c>
      <c r="E332" s="37"/>
      <c r="F332" s="38"/>
      <c r="G332" s="37"/>
      <c r="H332" s="38"/>
      <c r="I332" s="37"/>
      <c r="J332" s="38"/>
      <c r="K332" s="205"/>
      <c r="L332" s="286"/>
    </row>
    <row r="333" spans="1:12" s="204" customFormat="1">
      <c r="A333" s="27"/>
      <c r="B333" s="34" t="s">
        <v>559</v>
      </c>
      <c r="C333" s="26" t="s">
        <v>21</v>
      </c>
      <c r="D333" s="36">
        <f>D331*1.25</f>
        <v>500</v>
      </c>
      <c r="E333" s="37"/>
      <c r="F333" s="38"/>
      <c r="G333" s="37"/>
      <c r="H333" s="38"/>
      <c r="I333" s="37"/>
      <c r="J333" s="38"/>
      <c r="K333" s="205"/>
      <c r="L333" s="286"/>
    </row>
    <row r="334" spans="1:12" s="204" customFormat="1">
      <c r="A334" s="27"/>
      <c r="B334" s="34" t="s">
        <v>18</v>
      </c>
      <c r="C334" s="25"/>
      <c r="D334" s="36"/>
      <c r="E334" s="37"/>
      <c r="F334" s="38"/>
      <c r="G334" s="37"/>
      <c r="H334" s="38"/>
      <c r="I334" s="37"/>
      <c r="J334" s="38"/>
      <c r="K334" s="205"/>
      <c r="L334" s="286"/>
    </row>
    <row r="335" spans="1:12" s="204" customFormat="1">
      <c r="A335" s="27"/>
      <c r="B335" s="34" t="s">
        <v>552</v>
      </c>
      <c r="C335" s="26" t="s">
        <v>21</v>
      </c>
      <c r="D335" s="36">
        <f>D331*1.25</f>
        <v>500</v>
      </c>
      <c r="E335" s="37"/>
      <c r="F335" s="38"/>
      <c r="G335" s="37"/>
      <c r="H335" s="38"/>
      <c r="I335" s="37"/>
      <c r="J335" s="38"/>
      <c r="K335" s="205"/>
      <c r="L335" s="286"/>
    </row>
    <row r="336" spans="1:12" s="204" customFormat="1" ht="27.6">
      <c r="A336" s="27">
        <v>2</v>
      </c>
      <c r="B336" s="28" t="s">
        <v>560</v>
      </c>
      <c r="C336" s="21" t="s">
        <v>562</v>
      </c>
      <c r="D336" s="30">
        <v>1</v>
      </c>
      <c r="E336" s="31"/>
      <c r="F336" s="31"/>
      <c r="G336" s="31"/>
      <c r="H336" s="31"/>
      <c r="I336" s="31"/>
      <c r="J336" s="31"/>
      <c r="K336" s="205"/>
      <c r="L336" s="286"/>
    </row>
    <row r="337" spans="1:11" s="204" customFormat="1">
      <c r="A337" s="27"/>
      <c r="B337" s="34" t="s">
        <v>14</v>
      </c>
      <c r="C337" s="26" t="s">
        <v>561</v>
      </c>
      <c r="D337" s="36">
        <v>10</v>
      </c>
      <c r="E337" s="37"/>
      <c r="F337" s="38"/>
      <c r="G337" s="37"/>
      <c r="H337" s="38"/>
      <c r="I337" s="37"/>
      <c r="J337" s="38"/>
      <c r="K337" s="205"/>
    </row>
    <row r="338" spans="1:11" s="204" customFormat="1" ht="27.6">
      <c r="A338" s="27"/>
      <c r="B338" s="34" t="s">
        <v>559</v>
      </c>
      <c r="C338" s="26" t="s">
        <v>48</v>
      </c>
      <c r="D338" s="36">
        <v>5</v>
      </c>
      <c r="E338" s="37"/>
      <c r="F338" s="38"/>
      <c r="G338" s="37"/>
      <c r="H338" s="38"/>
      <c r="I338" s="37"/>
      <c r="J338" s="38"/>
      <c r="K338" s="205"/>
    </row>
    <row r="339" spans="1:11" s="33" customFormat="1" ht="13.8">
      <c r="A339" s="27">
        <v>3</v>
      </c>
      <c r="B339" s="28" t="s">
        <v>558</v>
      </c>
      <c r="C339" s="21" t="s">
        <v>21</v>
      </c>
      <c r="D339" s="30">
        <f>195*2</f>
        <v>390</v>
      </c>
      <c r="E339" s="31"/>
      <c r="F339" s="31"/>
      <c r="G339" s="31"/>
      <c r="H339" s="31"/>
      <c r="I339" s="31"/>
      <c r="J339" s="31"/>
      <c r="K339" s="219"/>
    </row>
    <row r="340" spans="1:11" s="39" customFormat="1" ht="13.8">
      <c r="A340" s="27"/>
      <c r="B340" s="34" t="s">
        <v>14</v>
      </c>
      <c r="C340" s="26" t="s">
        <v>21</v>
      </c>
      <c r="D340" s="36">
        <f>D339*0.25</f>
        <v>97.5</v>
      </c>
      <c r="E340" s="37"/>
      <c r="F340" s="38"/>
      <c r="G340" s="37"/>
      <c r="H340" s="38"/>
      <c r="I340" s="37"/>
      <c r="J340" s="38"/>
      <c r="K340" s="219"/>
    </row>
    <row r="341" spans="1:11" s="204" customFormat="1">
      <c r="A341" s="27"/>
      <c r="B341" s="34" t="s">
        <v>559</v>
      </c>
      <c r="C341" s="26" t="s">
        <v>21</v>
      </c>
      <c r="D341" s="36">
        <f>D339*1.25</f>
        <v>487.5</v>
      </c>
      <c r="E341" s="37"/>
      <c r="F341" s="38"/>
      <c r="G341" s="37"/>
      <c r="H341" s="38"/>
      <c r="I341" s="37"/>
      <c r="J341" s="38"/>
      <c r="K341" s="219"/>
    </row>
    <row r="342" spans="1:11" s="39" customFormat="1" ht="13.8">
      <c r="A342" s="27"/>
      <c r="B342" s="34" t="s">
        <v>18</v>
      </c>
      <c r="C342" s="25"/>
      <c r="D342" s="36"/>
      <c r="E342" s="37"/>
      <c r="F342" s="38"/>
      <c r="G342" s="37"/>
      <c r="H342" s="38"/>
      <c r="I342" s="37"/>
      <c r="J342" s="38"/>
      <c r="K342" s="219"/>
    </row>
    <row r="343" spans="1:11" s="39" customFormat="1" ht="13.8">
      <c r="A343" s="27"/>
      <c r="B343" s="34" t="s">
        <v>552</v>
      </c>
      <c r="C343" s="26" t="s">
        <v>21</v>
      </c>
      <c r="D343" s="36">
        <f>D339*1.25</f>
        <v>487.5</v>
      </c>
      <c r="E343" s="37"/>
      <c r="F343" s="38"/>
      <c r="G343" s="37"/>
      <c r="H343" s="38"/>
      <c r="I343" s="37"/>
      <c r="J343" s="38"/>
      <c r="K343" s="219"/>
    </row>
    <row r="344" spans="1:11" s="33" customFormat="1" ht="13.8">
      <c r="A344" s="27">
        <v>4</v>
      </c>
      <c r="B344" s="28" t="s">
        <v>538</v>
      </c>
      <c r="C344" s="29" t="s">
        <v>21</v>
      </c>
      <c r="D344" s="30">
        <v>21</v>
      </c>
      <c r="E344" s="31"/>
      <c r="F344" s="31"/>
      <c r="G344" s="31"/>
      <c r="H344" s="31"/>
      <c r="I344" s="31"/>
      <c r="J344" s="31"/>
      <c r="K344" s="219"/>
    </row>
    <row r="345" spans="1:11" s="39" customFormat="1" ht="13.8">
      <c r="A345" s="27"/>
      <c r="B345" s="34" t="s">
        <v>14</v>
      </c>
      <c r="C345" s="35" t="s">
        <v>21</v>
      </c>
      <c r="D345" s="36">
        <f>D344</f>
        <v>21</v>
      </c>
      <c r="E345" s="37"/>
      <c r="F345" s="38"/>
      <c r="G345" s="37"/>
      <c r="H345" s="38"/>
      <c r="I345" s="37"/>
      <c r="J345" s="38"/>
      <c r="K345" s="219"/>
    </row>
    <row r="346" spans="1:11" s="39" customFormat="1" ht="13.8">
      <c r="A346" s="27"/>
      <c r="B346" s="34" t="s">
        <v>16</v>
      </c>
      <c r="C346" s="25" t="s">
        <v>17</v>
      </c>
      <c r="D346" s="36">
        <f>D344</f>
        <v>21</v>
      </c>
      <c r="E346" s="37"/>
      <c r="F346" s="38"/>
      <c r="G346" s="37"/>
      <c r="H346" s="38"/>
      <c r="I346" s="37"/>
      <c r="J346" s="38"/>
      <c r="K346" s="219"/>
    </row>
    <row r="347" spans="1:11" s="39" customFormat="1" ht="13.8">
      <c r="A347" s="27"/>
      <c r="B347" s="34" t="s">
        <v>18</v>
      </c>
      <c r="C347" s="25"/>
      <c r="D347" s="36"/>
      <c r="E347" s="37"/>
      <c r="F347" s="38"/>
      <c r="G347" s="37"/>
      <c r="H347" s="38"/>
      <c r="I347" s="37"/>
      <c r="J347" s="38"/>
      <c r="K347" s="219"/>
    </row>
    <row r="348" spans="1:11" s="39" customFormat="1" ht="13.8">
      <c r="A348" s="27"/>
      <c r="B348" s="34" t="s">
        <v>22</v>
      </c>
      <c r="C348" s="35" t="s">
        <v>21</v>
      </c>
      <c r="D348" s="36">
        <f>D344*1.02</f>
        <v>21.42</v>
      </c>
      <c r="E348" s="37"/>
      <c r="F348" s="38"/>
      <c r="G348" s="37"/>
      <c r="H348" s="38"/>
      <c r="I348" s="37"/>
      <c r="J348" s="38"/>
      <c r="K348" s="219"/>
    </row>
    <row r="349" spans="1:11" s="39" customFormat="1" ht="13.8">
      <c r="A349" s="27"/>
      <c r="B349" s="34" t="s">
        <v>23</v>
      </c>
      <c r="C349" s="25" t="s">
        <v>24</v>
      </c>
      <c r="D349" s="36">
        <f>550*1.05/1000</f>
        <v>0.57750000000000001</v>
      </c>
      <c r="E349" s="37"/>
      <c r="F349" s="38"/>
      <c r="G349" s="37"/>
      <c r="H349" s="38"/>
      <c r="I349" s="37"/>
      <c r="J349" s="38"/>
      <c r="K349" s="219"/>
    </row>
    <row r="350" spans="1:11" s="39" customFormat="1" ht="13.8">
      <c r="A350" s="27"/>
      <c r="B350" s="34" t="s">
        <v>539</v>
      </c>
      <c r="C350" s="25" t="s">
        <v>24</v>
      </c>
      <c r="D350" s="36">
        <f>200*1.05/1000</f>
        <v>0.21</v>
      </c>
      <c r="E350" s="37"/>
      <c r="F350" s="38"/>
      <c r="G350" s="37"/>
      <c r="H350" s="38"/>
      <c r="I350" s="37"/>
      <c r="J350" s="38"/>
      <c r="K350" s="219"/>
    </row>
    <row r="351" spans="1:11" s="39" customFormat="1" ht="13.8">
      <c r="A351" s="27"/>
      <c r="B351" s="34" t="s">
        <v>540</v>
      </c>
      <c r="C351" s="25" t="s">
        <v>24</v>
      </c>
      <c r="D351" s="36">
        <f>420*1.05/1000</f>
        <v>0.441</v>
      </c>
      <c r="E351" s="37"/>
      <c r="F351" s="38"/>
      <c r="G351" s="37"/>
      <c r="H351" s="38"/>
      <c r="I351" s="37"/>
      <c r="J351" s="38"/>
      <c r="K351" s="219"/>
    </row>
    <row r="352" spans="1:11" s="39" customFormat="1" ht="13.8">
      <c r="A352" s="27"/>
      <c r="B352" s="34" t="s">
        <v>541</v>
      </c>
      <c r="C352" s="25" t="s">
        <v>24</v>
      </c>
      <c r="D352" s="36">
        <f>300*1.05/1000</f>
        <v>0.315</v>
      </c>
      <c r="E352" s="37"/>
      <c r="F352" s="38"/>
      <c r="G352" s="37"/>
      <c r="H352" s="38"/>
      <c r="I352" s="37"/>
      <c r="J352" s="38"/>
      <c r="K352" s="219"/>
    </row>
    <row r="353" spans="1:11" s="39" customFormat="1" ht="13.8">
      <c r="A353" s="27"/>
      <c r="B353" s="34" t="s">
        <v>25</v>
      </c>
      <c r="C353" s="35" t="s">
        <v>21</v>
      </c>
      <c r="D353" s="36">
        <f>D344</f>
        <v>21</v>
      </c>
      <c r="E353" s="40"/>
      <c r="F353" s="38"/>
      <c r="G353" s="40"/>
      <c r="H353" s="38"/>
      <c r="I353" s="40"/>
      <c r="J353" s="38"/>
      <c r="K353" s="219"/>
    </row>
    <row r="354" spans="1:11" s="39" customFormat="1" ht="13.8">
      <c r="A354" s="27"/>
      <c r="B354" s="34" t="s">
        <v>26</v>
      </c>
      <c r="C354" s="25" t="s">
        <v>17</v>
      </c>
      <c r="D354" s="36">
        <f>D344</f>
        <v>21</v>
      </c>
      <c r="E354" s="37"/>
      <c r="F354" s="38"/>
      <c r="G354" s="37"/>
      <c r="H354" s="38"/>
      <c r="I354" s="37"/>
      <c r="J354" s="38"/>
      <c r="K354" s="219"/>
    </row>
    <row r="355" spans="1:11" s="33" customFormat="1" ht="14.25" customHeight="1">
      <c r="A355" s="27">
        <v>5</v>
      </c>
      <c r="B355" s="28" t="s">
        <v>542</v>
      </c>
      <c r="C355" s="29" t="s">
        <v>21</v>
      </c>
      <c r="D355" s="30">
        <v>1</v>
      </c>
      <c r="E355" s="31"/>
      <c r="F355" s="31"/>
      <c r="G355" s="31"/>
      <c r="H355" s="31"/>
      <c r="I355" s="31"/>
      <c r="J355" s="31"/>
      <c r="K355" s="219"/>
    </row>
    <row r="356" spans="1:11" s="39" customFormat="1" ht="13.8">
      <c r="A356" s="27"/>
      <c r="B356" s="34" t="s">
        <v>14</v>
      </c>
      <c r="C356" s="35" t="s">
        <v>21</v>
      </c>
      <c r="D356" s="36">
        <f>D355</f>
        <v>1</v>
      </c>
      <c r="E356" s="37"/>
      <c r="F356" s="38"/>
      <c r="G356" s="37"/>
      <c r="H356" s="38"/>
      <c r="I356" s="37"/>
      <c r="J356" s="38"/>
      <c r="K356" s="219"/>
    </row>
    <row r="357" spans="1:11" s="39" customFormat="1" ht="13.8">
      <c r="A357" s="27"/>
      <c r="B357" s="34" t="s">
        <v>16</v>
      </c>
      <c r="C357" s="25" t="s">
        <v>17</v>
      </c>
      <c r="D357" s="36">
        <f>D355</f>
        <v>1</v>
      </c>
      <c r="E357" s="37"/>
      <c r="F357" s="38"/>
      <c r="G357" s="37"/>
      <c r="H357" s="38"/>
      <c r="I357" s="37"/>
      <c r="J357" s="38"/>
      <c r="K357" s="219"/>
    </row>
    <row r="358" spans="1:11" s="39" customFormat="1" ht="13.8">
      <c r="A358" s="27"/>
      <c r="B358" s="34" t="s">
        <v>18</v>
      </c>
      <c r="C358" s="25"/>
      <c r="D358" s="36"/>
      <c r="E358" s="37"/>
      <c r="F358" s="38"/>
      <c r="G358" s="37"/>
      <c r="H358" s="38"/>
      <c r="I358" s="37"/>
      <c r="J358" s="38"/>
      <c r="K358" s="219"/>
    </row>
    <row r="359" spans="1:11" s="39" customFormat="1" ht="13.8">
      <c r="A359" s="27"/>
      <c r="B359" s="34" t="s">
        <v>22</v>
      </c>
      <c r="C359" s="35" t="s">
        <v>21</v>
      </c>
      <c r="D359" s="36">
        <f>D355*1.02</f>
        <v>1.02</v>
      </c>
      <c r="E359" s="37"/>
      <c r="F359" s="38"/>
      <c r="G359" s="37"/>
      <c r="H359" s="38"/>
      <c r="I359" s="37"/>
      <c r="J359" s="38"/>
      <c r="K359" s="219"/>
    </row>
    <row r="360" spans="1:11" s="39" customFormat="1" ht="13.8">
      <c r="A360" s="27"/>
      <c r="B360" s="34" t="s">
        <v>23</v>
      </c>
      <c r="C360" s="25" t="s">
        <v>24</v>
      </c>
      <c r="D360" s="36">
        <f>70*1.05/1000</f>
        <v>7.3499999999999996E-2</v>
      </c>
      <c r="E360" s="37"/>
      <c r="F360" s="38"/>
      <c r="G360" s="37"/>
      <c r="H360" s="38"/>
      <c r="I360" s="37"/>
      <c r="J360" s="38"/>
      <c r="K360" s="219"/>
    </row>
    <row r="361" spans="1:11" s="39" customFormat="1" ht="13.8">
      <c r="A361" s="27"/>
      <c r="B361" s="34" t="s">
        <v>28</v>
      </c>
      <c r="C361" s="25" t="s">
        <v>24</v>
      </c>
      <c r="D361" s="36">
        <f>120*1.05/1000</f>
        <v>0.126</v>
      </c>
      <c r="E361" s="38"/>
      <c r="F361" s="38"/>
      <c r="G361" s="37"/>
      <c r="H361" s="38"/>
      <c r="I361" s="37"/>
      <c r="J361" s="38"/>
      <c r="K361" s="219"/>
    </row>
    <row r="362" spans="1:11" s="39" customFormat="1" ht="13.8">
      <c r="A362" s="27"/>
      <c r="B362" s="34" t="s">
        <v>25</v>
      </c>
      <c r="C362" s="35" t="s">
        <v>21</v>
      </c>
      <c r="D362" s="36">
        <f>D355</f>
        <v>1</v>
      </c>
      <c r="E362" s="40"/>
      <c r="F362" s="38"/>
      <c r="G362" s="40"/>
      <c r="H362" s="38"/>
      <c r="I362" s="40"/>
      <c r="J362" s="38"/>
      <c r="K362" s="219"/>
    </row>
    <row r="363" spans="1:11" s="39" customFormat="1" ht="13.8">
      <c r="A363" s="27"/>
      <c r="B363" s="34" t="s">
        <v>26</v>
      </c>
      <c r="C363" s="25" t="s">
        <v>17</v>
      </c>
      <c r="D363" s="36">
        <f>D355</f>
        <v>1</v>
      </c>
      <c r="E363" s="37"/>
      <c r="F363" s="38"/>
      <c r="G363" s="37"/>
      <c r="H363" s="38"/>
      <c r="I363" s="37"/>
      <c r="J363" s="38"/>
      <c r="K363" s="219"/>
    </row>
    <row r="364" spans="1:11" s="33" customFormat="1" ht="14.25" customHeight="1">
      <c r="A364" s="27">
        <v>6</v>
      </c>
      <c r="B364" s="28" t="s">
        <v>543</v>
      </c>
      <c r="C364" s="29" t="s">
        <v>21</v>
      </c>
      <c r="D364" s="30">
        <v>2</v>
      </c>
      <c r="E364" s="31"/>
      <c r="F364" s="31"/>
      <c r="G364" s="31"/>
      <c r="H364" s="31"/>
      <c r="I364" s="31"/>
      <c r="J364" s="31"/>
      <c r="K364" s="219"/>
    </row>
    <row r="365" spans="1:11" s="39" customFormat="1" ht="13.8">
      <c r="A365" s="27"/>
      <c r="B365" s="34" t="s">
        <v>14</v>
      </c>
      <c r="C365" s="35" t="s">
        <v>21</v>
      </c>
      <c r="D365" s="36">
        <f>D364</f>
        <v>2</v>
      </c>
      <c r="E365" s="37"/>
      <c r="F365" s="38"/>
      <c r="G365" s="37"/>
      <c r="H365" s="38"/>
      <c r="I365" s="37"/>
      <c r="J365" s="38"/>
      <c r="K365" s="219"/>
    </row>
    <row r="366" spans="1:11" s="39" customFormat="1" ht="13.8">
      <c r="A366" s="27"/>
      <c r="B366" s="34" t="s">
        <v>16</v>
      </c>
      <c r="C366" s="25" t="s">
        <v>17</v>
      </c>
      <c r="D366" s="36">
        <f>D364</f>
        <v>2</v>
      </c>
      <c r="E366" s="37"/>
      <c r="F366" s="38"/>
      <c r="G366" s="37"/>
      <c r="H366" s="38"/>
      <c r="I366" s="37"/>
      <c r="J366" s="38"/>
      <c r="K366" s="219"/>
    </row>
    <row r="367" spans="1:11" s="39" customFormat="1" ht="13.8">
      <c r="A367" s="27"/>
      <c r="B367" s="34" t="s">
        <v>18</v>
      </c>
      <c r="C367" s="25"/>
      <c r="D367" s="36"/>
      <c r="E367" s="37"/>
      <c r="F367" s="38"/>
      <c r="G367" s="37"/>
      <c r="H367" s="38"/>
      <c r="I367" s="37"/>
      <c r="J367" s="38"/>
      <c r="K367" s="219"/>
    </row>
    <row r="368" spans="1:11" s="39" customFormat="1" ht="13.8">
      <c r="A368" s="27"/>
      <c r="B368" s="34" t="s">
        <v>22</v>
      </c>
      <c r="C368" s="35" t="s">
        <v>21</v>
      </c>
      <c r="D368" s="36">
        <f>D364*1.02</f>
        <v>2.04</v>
      </c>
      <c r="E368" s="37"/>
      <c r="F368" s="38"/>
      <c r="G368" s="37"/>
      <c r="H368" s="38"/>
      <c r="I368" s="37"/>
      <c r="J368" s="38"/>
      <c r="K368" s="219"/>
    </row>
    <row r="369" spans="1:11" s="39" customFormat="1" ht="13.8">
      <c r="A369" s="27"/>
      <c r="B369" s="34" t="s">
        <v>23</v>
      </c>
      <c r="C369" s="25" t="s">
        <v>24</v>
      </c>
      <c r="D369" s="36">
        <f>100*1.05/1000</f>
        <v>0.105</v>
      </c>
      <c r="E369" s="37"/>
      <c r="F369" s="38"/>
      <c r="G369" s="37"/>
      <c r="H369" s="38"/>
      <c r="I369" s="37"/>
      <c r="J369" s="38"/>
      <c r="K369" s="219"/>
    </row>
    <row r="370" spans="1:11" s="39" customFormat="1" ht="13.8">
      <c r="A370" s="27"/>
      <c r="B370" s="34" t="s">
        <v>28</v>
      </c>
      <c r="C370" s="25" t="s">
        <v>24</v>
      </c>
      <c r="D370" s="36">
        <f>210*1.05/1000</f>
        <v>0.2205</v>
      </c>
      <c r="E370" s="38"/>
      <c r="F370" s="38"/>
      <c r="G370" s="37"/>
      <c r="H370" s="38"/>
      <c r="I370" s="37"/>
      <c r="J370" s="38"/>
      <c r="K370" s="219"/>
    </row>
    <row r="371" spans="1:11" s="39" customFormat="1" ht="13.8">
      <c r="A371" s="27"/>
      <c r="B371" s="34" t="s">
        <v>25</v>
      </c>
      <c r="C371" s="35" t="s">
        <v>21</v>
      </c>
      <c r="D371" s="36">
        <f>D364</f>
        <v>2</v>
      </c>
      <c r="E371" s="40"/>
      <c r="F371" s="38"/>
      <c r="G371" s="40"/>
      <c r="H371" s="38"/>
      <c r="I371" s="40"/>
      <c r="J371" s="38"/>
      <c r="K371" s="219"/>
    </row>
    <row r="372" spans="1:11" s="39" customFormat="1" ht="13.8">
      <c r="A372" s="27"/>
      <c r="B372" s="34" t="s">
        <v>26</v>
      </c>
      <c r="C372" s="25" t="s">
        <v>17</v>
      </c>
      <c r="D372" s="36">
        <f>D364</f>
        <v>2</v>
      </c>
      <c r="E372" s="37"/>
      <c r="F372" s="38"/>
      <c r="G372" s="37"/>
      <c r="H372" s="38"/>
      <c r="I372" s="37"/>
      <c r="J372" s="38"/>
      <c r="K372" s="219"/>
    </row>
    <row r="373" spans="1:11" s="33" customFormat="1" ht="14.25" customHeight="1">
      <c r="A373" s="27">
        <f>A364+1</f>
        <v>7</v>
      </c>
      <c r="B373" s="28" t="s">
        <v>544</v>
      </c>
      <c r="C373" s="29" t="s">
        <v>21</v>
      </c>
      <c r="D373" s="30">
        <v>18</v>
      </c>
      <c r="E373" s="31"/>
      <c r="F373" s="31"/>
      <c r="G373" s="31"/>
      <c r="H373" s="31"/>
      <c r="I373" s="31"/>
      <c r="J373" s="31"/>
      <c r="K373" s="219"/>
    </row>
    <row r="374" spans="1:11" s="39" customFormat="1" ht="13.8">
      <c r="A374" s="27"/>
      <c r="B374" s="34" t="s">
        <v>14</v>
      </c>
      <c r="C374" s="35" t="s">
        <v>21</v>
      </c>
      <c r="D374" s="36">
        <f>D373</f>
        <v>18</v>
      </c>
      <c r="E374" s="37"/>
      <c r="F374" s="38"/>
      <c r="G374" s="37"/>
      <c r="H374" s="38"/>
      <c r="I374" s="37"/>
      <c r="J374" s="38"/>
      <c r="K374" s="219"/>
    </row>
    <row r="375" spans="1:11" s="39" customFormat="1" ht="13.8">
      <c r="A375" s="27"/>
      <c r="B375" s="34" t="s">
        <v>16</v>
      </c>
      <c r="C375" s="25" t="s">
        <v>17</v>
      </c>
      <c r="D375" s="36">
        <f>D373</f>
        <v>18</v>
      </c>
      <c r="E375" s="37"/>
      <c r="F375" s="38"/>
      <c r="G375" s="37"/>
      <c r="H375" s="38"/>
      <c r="I375" s="37"/>
      <c r="J375" s="38"/>
      <c r="K375" s="219"/>
    </row>
    <row r="376" spans="1:11" s="39" customFormat="1" ht="13.8">
      <c r="A376" s="27"/>
      <c r="B376" s="34" t="s">
        <v>18</v>
      </c>
      <c r="C376" s="25"/>
      <c r="D376" s="36"/>
      <c r="E376" s="37"/>
      <c r="F376" s="38"/>
      <c r="G376" s="37"/>
      <c r="H376" s="38"/>
      <c r="I376" s="37"/>
      <c r="J376" s="38"/>
      <c r="K376" s="219"/>
    </row>
    <row r="377" spans="1:11" s="39" customFormat="1" ht="13.8">
      <c r="A377" s="27"/>
      <c r="B377" s="34" t="s">
        <v>22</v>
      </c>
      <c r="C377" s="35" t="s">
        <v>21</v>
      </c>
      <c r="D377" s="36">
        <f>D373*1.02</f>
        <v>18.36</v>
      </c>
      <c r="E377" s="37"/>
      <c r="F377" s="38"/>
      <c r="G377" s="37"/>
      <c r="H377" s="38"/>
      <c r="I377" s="37"/>
      <c r="J377" s="38"/>
      <c r="K377" s="219"/>
    </row>
    <row r="378" spans="1:11" s="39" customFormat="1" ht="13.8">
      <c r="A378" s="27"/>
      <c r="B378" s="34" t="s">
        <v>545</v>
      </c>
      <c r="C378" s="25" t="s">
        <v>24</v>
      </c>
      <c r="D378" s="36">
        <f>20*3.2/1000</f>
        <v>6.4000000000000001E-2</v>
      </c>
      <c r="E378" s="37"/>
      <c r="F378" s="38"/>
      <c r="G378" s="37"/>
      <c r="H378" s="38"/>
      <c r="I378" s="37"/>
      <c r="J378" s="38"/>
      <c r="K378" s="219"/>
    </row>
    <row r="379" spans="1:11" s="39" customFormat="1" ht="13.8">
      <c r="A379" s="27"/>
      <c r="B379" s="34" t="s">
        <v>23</v>
      </c>
      <c r="C379" s="25" t="s">
        <v>24</v>
      </c>
      <c r="D379" s="36">
        <f>50*3.2/1000</f>
        <v>0.16</v>
      </c>
      <c r="E379" s="37"/>
      <c r="F379" s="38"/>
      <c r="G379" s="37"/>
      <c r="H379" s="38"/>
      <c r="I379" s="37"/>
      <c r="J379" s="38"/>
      <c r="K379" s="219"/>
    </row>
    <row r="380" spans="1:11" s="39" customFormat="1" ht="13.8">
      <c r="A380" s="27"/>
      <c r="B380" s="34" t="s">
        <v>539</v>
      </c>
      <c r="C380" s="25" t="s">
        <v>24</v>
      </c>
      <c r="D380" s="36">
        <f>370*1.05/1000</f>
        <v>0.38850000000000001</v>
      </c>
      <c r="E380" s="37"/>
      <c r="F380" s="38"/>
      <c r="G380" s="37"/>
      <c r="H380" s="38"/>
      <c r="I380" s="37"/>
      <c r="J380" s="38"/>
      <c r="K380" s="219"/>
    </row>
    <row r="381" spans="1:11" s="39" customFormat="1" ht="13.8">
      <c r="A381" s="27"/>
      <c r="B381" s="34" t="s">
        <v>540</v>
      </c>
      <c r="C381" s="25" t="s">
        <v>24</v>
      </c>
      <c r="D381" s="36">
        <f>60*1.05/1000</f>
        <v>6.3E-2</v>
      </c>
      <c r="E381" s="37"/>
      <c r="F381" s="38"/>
      <c r="G381" s="37"/>
      <c r="H381" s="38"/>
      <c r="I381" s="37"/>
      <c r="J381" s="38"/>
      <c r="K381" s="219"/>
    </row>
    <row r="382" spans="1:11" s="39" customFormat="1" ht="13.8">
      <c r="A382" s="27"/>
      <c r="B382" s="34" t="s">
        <v>28</v>
      </c>
      <c r="C382" s="25" t="s">
        <v>24</v>
      </c>
      <c r="D382" s="36">
        <f>150*1.05/1000</f>
        <v>0.1575</v>
      </c>
      <c r="E382" s="38"/>
      <c r="F382" s="38"/>
      <c r="G382" s="37"/>
      <c r="H382" s="38"/>
      <c r="I382" s="37"/>
      <c r="J382" s="38"/>
      <c r="K382" s="219"/>
    </row>
    <row r="383" spans="1:11" s="39" customFormat="1" ht="13.8">
      <c r="A383" s="27"/>
      <c r="B383" s="34" t="s">
        <v>25</v>
      </c>
      <c r="C383" s="35" t="s">
        <v>21</v>
      </c>
      <c r="D383" s="36">
        <f>D373</f>
        <v>18</v>
      </c>
      <c r="E383" s="40"/>
      <c r="F383" s="38"/>
      <c r="G383" s="40"/>
      <c r="H383" s="38"/>
      <c r="I383" s="40"/>
      <c r="J383" s="38"/>
      <c r="K383" s="219"/>
    </row>
    <row r="384" spans="1:11" s="39" customFormat="1" ht="13.8">
      <c r="A384" s="27"/>
      <c r="B384" s="34" t="s">
        <v>26</v>
      </c>
      <c r="C384" s="25" t="s">
        <v>17</v>
      </c>
      <c r="D384" s="36">
        <f>D373</f>
        <v>18</v>
      </c>
      <c r="E384" s="37"/>
      <c r="F384" s="38"/>
      <c r="G384" s="37"/>
      <c r="H384" s="38"/>
      <c r="I384" s="37"/>
      <c r="J384" s="38"/>
      <c r="K384" s="219"/>
    </row>
    <row r="385" spans="1:11" s="88" customFormat="1" ht="14.25" customHeight="1">
      <c r="A385" s="82"/>
      <c r="B385" s="83" t="s">
        <v>103</v>
      </c>
      <c r="C385" s="82"/>
      <c r="D385" s="223"/>
      <c r="E385" s="85"/>
      <c r="F385" s="31">
        <f>SUM(F13:F384)</f>
        <v>0</v>
      </c>
      <c r="G385" s="224"/>
      <c r="H385" s="31">
        <f>SUM(H13:H384)</f>
        <v>0</v>
      </c>
      <c r="I385" s="225"/>
      <c r="J385" s="31">
        <f>SUM(J13:J384)</f>
        <v>0</v>
      </c>
      <c r="K385" s="31">
        <f>SUM(K13:K384)</f>
        <v>0</v>
      </c>
    </row>
    <row r="386" spans="1:11" s="94" customFormat="1">
      <c r="A386" s="82"/>
      <c r="B386" s="89" t="s">
        <v>104</v>
      </c>
      <c r="C386" s="217"/>
      <c r="D386" s="226"/>
      <c r="E386" s="92"/>
      <c r="F386" s="225"/>
      <c r="G386" s="224"/>
      <c r="H386" s="224"/>
      <c r="I386" s="225"/>
      <c r="J386" s="225"/>
      <c r="K386" s="227">
        <f>F385*C386</f>
        <v>0</v>
      </c>
    </row>
    <row r="387" spans="1:11" s="99" customFormat="1" ht="15" customHeight="1">
      <c r="A387" s="89"/>
      <c r="B387" s="89" t="s">
        <v>103</v>
      </c>
      <c r="C387" s="89"/>
      <c r="D387" s="228"/>
      <c r="E387" s="96"/>
      <c r="F387" s="229"/>
      <c r="G387" s="229"/>
      <c r="H387" s="229"/>
      <c r="I387" s="229"/>
      <c r="J387" s="229"/>
      <c r="K387" s="31">
        <f>K386+K385</f>
        <v>0</v>
      </c>
    </row>
    <row r="388" spans="1:11" s="106" customFormat="1" ht="13.8">
      <c r="A388" s="89"/>
      <c r="B388" s="100" t="s">
        <v>105</v>
      </c>
      <c r="C388" s="101"/>
      <c r="D388" s="230"/>
      <c r="E388" s="103"/>
      <c r="F388" s="231"/>
      <c r="G388" s="231"/>
      <c r="H388" s="231"/>
      <c r="I388" s="231"/>
      <c r="J388" s="231"/>
      <c r="K388" s="232">
        <f>K387*C388</f>
        <v>0</v>
      </c>
    </row>
    <row r="389" spans="1:11" s="106" customFormat="1" ht="13.8">
      <c r="A389" s="100"/>
      <c r="B389" s="100" t="s">
        <v>103</v>
      </c>
      <c r="C389" s="100"/>
      <c r="D389" s="230"/>
      <c r="E389" s="103"/>
      <c r="F389" s="231"/>
      <c r="G389" s="231"/>
      <c r="H389" s="231"/>
      <c r="I389" s="231"/>
      <c r="J389" s="231"/>
      <c r="K389" s="232">
        <f>K388+K387</f>
        <v>0</v>
      </c>
    </row>
    <row r="390" spans="1:11" s="106" customFormat="1" ht="13.8">
      <c r="A390" s="100"/>
      <c r="B390" s="100" t="s">
        <v>106</v>
      </c>
      <c r="C390" s="107"/>
      <c r="D390" s="230"/>
      <c r="E390" s="103"/>
      <c r="F390" s="231"/>
      <c r="G390" s="231"/>
      <c r="H390" s="231"/>
      <c r="I390" s="231"/>
      <c r="J390" s="231"/>
      <c r="K390" s="232">
        <f>K389*C390</f>
        <v>0</v>
      </c>
    </row>
    <row r="391" spans="1:11" s="106" customFormat="1" ht="13.8">
      <c r="A391" s="100"/>
      <c r="B391" s="100" t="s">
        <v>103</v>
      </c>
      <c r="C391" s="100"/>
      <c r="D391" s="230"/>
      <c r="E391" s="103"/>
      <c r="F391" s="231"/>
      <c r="G391" s="231"/>
      <c r="H391" s="231"/>
      <c r="I391" s="231"/>
      <c r="J391" s="231"/>
      <c r="K391" s="232">
        <f>K390+K389</f>
        <v>0</v>
      </c>
    </row>
    <row r="392" spans="1:11" s="106" customFormat="1" ht="13.8">
      <c r="A392" s="100"/>
      <c r="B392" s="100" t="s">
        <v>107</v>
      </c>
      <c r="C392" s="107"/>
      <c r="D392" s="230"/>
      <c r="E392" s="103"/>
      <c r="F392" s="231"/>
      <c r="G392" s="231"/>
      <c r="H392" s="231"/>
      <c r="I392" s="231"/>
      <c r="J392" s="231"/>
      <c r="K392" s="232">
        <f>K391*C392</f>
        <v>0</v>
      </c>
    </row>
    <row r="393" spans="1:11" s="106" customFormat="1" ht="13.8">
      <c r="A393" s="100"/>
      <c r="B393" s="100" t="s">
        <v>103</v>
      </c>
      <c r="C393" s="100"/>
      <c r="D393" s="230"/>
      <c r="E393" s="103"/>
      <c r="F393" s="231"/>
      <c r="G393" s="231"/>
      <c r="H393" s="231"/>
      <c r="I393" s="231"/>
      <c r="J393" s="231"/>
      <c r="K393" s="232">
        <f>K391+K392</f>
        <v>0</v>
      </c>
    </row>
    <row r="394" spans="1:11" s="114" customFormat="1">
      <c r="A394" s="27"/>
      <c r="B394" s="108" t="s">
        <v>108</v>
      </c>
      <c r="C394" s="109">
        <v>0.18</v>
      </c>
      <c r="D394" s="233"/>
      <c r="E394" s="111"/>
      <c r="F394" s="234"/>
      <c r="G394" s="234"/>
      <c r="H394" s="234"/>
      <c r="I394" s="234"/>
      <c r="J394" s="234"/>
      <c r="K394" s="235">
        <f>K393*C394</f>
        <v>0</v>
      </c>
    </row>
    <row r="395" spans="1:11" s="114" customFormat="1">
      <c r="A395" s="27"/>
      <c r="B395" s="108" t="s">
        <v>103</v>
      </c>
      <c r="C395" s="115"/>
      <c r="D395" s="233"/>
      <c r="E395" s="111"/>
      <c r="F395" s="234"/>
      <c r="G395" s="234"/>
      <c r="H395" s="234"/>
      <c r="I395" s="234"/>
      <c r="J395" s="234"/>
      <c r="K395" s="235">
        <f>K393+K394</f>
        <v>0</v>
      </c>
    </row>
    <row r="396" spans="1:11">
      <c r="K396" s="121"/>
    </row>
    <row r="397" spans="1:11">
      <c r="A397" s="264"/>
      <c r="B397" s="264"/>
      <c r="C397" s="264"/>
      <c r="D397" s="264"/>
      <c r="E397" s="264"/>
      <c r="F397" s="264"/>
      <c r="G397" s="264"/>
      <c r="H397" s="264"/>
      <c r="I397" s="264"/>
      <c r="J397" s="264"/>
      <c r="K397" s="264"/>
    </row>
    <row r="398" spans="1:11">
      <c r="A398" s="264"/>
      <c r="B398" s="264"/>
      <c r="C398" s="264"/>
      <c r="D398" s="264"/>
      <c r="E398" s="264"/>
      <c r="F398" s="264"/>
      <c r="G398" s="264"/>
      <c r="H398" s="264"/>
      <c r="I398" s="264"/>
      <c r="J398" s="264"/>
      <c r="K398" s="264"/>
    </row>
    <row r="399" spans="1:11">
      <c r="A399" s="210"/>
      <c r="B399" s="265"/>
      <c r="C399" s="265"/>
      <c r="D399" s="265"/>
      <c r="E399" s="265"/>
      <c r="F399" s="122"/>
      <c r="G399" s="122"/>
      <c r="H399" s="122"/>
      <c r="I399" s="122"/>
      <c r="J399" s="122"/>
      <c r="K399" s="123"/>
    </row>
    <row r="400" spans="1:11">
      <c r="K400" s="128"/>
    </row>
    <row r="401" spans="11:11">
      <c r="K401" s="128"/>
    </row>
    <row r="402" spans="11:11">
      <c r="K402" s="128"/>
    </row>
  </sheetData>
  <mergeCells count="21">
    <mergeCell ref="A1:K1"/>
    <mergeCell ref="A2:K2"/>
    <mergeCell ref="A3:K3"/>
    <mergeCell ref="A5:D5"/>
    <mergeCell ref="G5:I5"/>
    <mergeCell ref="J5:K5"/>
    <mergeCell ref="J7:K7"/>
    <mergeCell ref="A8:A11"/>
    <mergeCell ref="C8:C11"/>
    <mergeCell ref="D8:D9"/>
    <mergeCell ref="E8:F9"/>
    <mergeCell ref="G8:H9"/>
    <mergeCell ref="I8:J9"/>
    <mergeCell ref="K8:K11"/>
    <mergeCell ref="D10:D11"/>
    <mergeCell ref="F10:F11"/>
    <mergeCell ref="L331:L336"/>
    <mergeCell ref="H10:H11"/>
    <mergeCell ref="J10:J11"/>
    <mergeCell ref="A397:K398"/>
    <mergeCell ref="B399:E399"/>
  </mergeCells>
  <conditionalFormatting sqref="D387">
    <cfRule type="cellIs" dxfId="4" priority="1" stopIfTrue="1" operator="equal">
      <formula>8223.307275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topLeftCell="A190" zoomScale="85" zoomScaleNormal="85" workbookViewId="0">
      <selection activeCell="C194" sqref="C194"/>
    </sheetView>
  </sheetViews>
  <sheetFormatPr defaultColWidth="8.77734375" defaultRowHeight="13.2"/>
  <cols>
    <col min="1" max="1" width="6" style="142" customWidth="1"/>
    <col min="2" max="2" width="58.33203125" style="142" customWidth="1"/>
    <col min="3" max="3" width="8.77734375" style="142"/>
    <col min="4" max="4" width="9" style="142" bestFit="1" customWidth="1"/>
    <col min="5" max="5" width="13.33203125" style="142" customWidth="1"/>
    <col min="6" max="6" width="13.44140625" style="142" bestFit="1" customWidth="1"/>
    <col min="7" max="7" width="11.44140625" style="142" customWidth="1"/>
    <col min="8" max="8" width="12.44140625" style="142" bestFit="1" customWidth="1"/>
    <col min="9" max="9" width="16.44140625" style="142" customWidth="1"/>
    <col min="10" max="10" width="8.77734375" style="142"/>
    <col min="11" max="11" width="23.44140625" style="142" customWidth="1"/>
    <col min="12" max="16384" width="8.77734375" style="142"/>
  </cols>
  <sheetData>
    <row r="1" spans="1:9" ht="13.95" customHeight="1">
      <c r="A1" s="287" t="s">
        <v>3</v>
      </c>
      <c r="B1" s="141"/>
      <c r="C1" s="287" t="s">
        <v>165</v>
      </c>
      <c r="D1" s="288"/>
      <c r="E1" s="287" t="s">
        <v>166</v>
      </c>
      <c r="F1" s="287"/>
      <c r="G1" s="287" t="s">
        <v>167</v>
      </c>
      <c r="H1" s="287"/>
      <c r="I1" s="287" t="s">
        <v>103</v>
      </c>
    </row>
    <row r="2" spans="1:9">
      <c r="A2" s="287"/>
      <c r="B2" s="143" t="s">
        <v>158</v>
      </c>
      <c r="C2" s="287"/>
      <c r="D2" s="288"/>
      <c r="E2" s="287"/>
      <c r="F2" s="287"/>
      <c r="G2" s="287"/>
      <c r="H2" s="287"/>
      <c r="I2" s="287"/>
    </row>
    <row r="3" spans="1:9">
      <c r="A3" s="287"/>
      <c r="B3" s="143"/>
      <c r="C3" s="287"/>
      <c r="D3" s="287" t="s">
        <v>168</v>
      </c>
      <c r="E3" s="144" t="s">
        <v>169</v>
      </c>
      <c r="F3" s="287" t="s">
        <v>170</v>
      </c>
      <c r="G3" s="144" t="s">
        <v>169</v>
      </c>
      <c r="H3" s="287" t="s">
        <v>170</v>
      </c>
      <c r="I3" s="287"/>
    </row>
    <row r="4" spans="1:9">
      <c r="A4" s="287"/>
      <c r="B4" s="145"/>
      <c r="C4" s="287"/>
      <c r="D4" s="287"/>
      <c r="E4" s="146" t="s">
        <v>171</v>
      </c>
      <c r="F4" s="287"/>
      <c r="G4" s="146" t="s">
        <v>171</v>
      </c>
      <c r="H4" s="287"/>
      <c r="I4" s="287"/>
    </row>
    <row r="5" spans="1:9">
      <c r="A5" s="147"/>
      <c r="B5" s="148" t="s">
        <v>172</v>
      </c>
      <c r="C5" s="149"/>
      <c r="D5" s="147"/>
      <c r="E5" s="147"/>
      <c r="F5" s="147"/>
      <c r="G5" s="147"/>
      <c r="H5" s="147"/>
      <c r="I5" s="147"/>
    </row>
    <row r="6" spans="1:9">
      <c r="A6" s="151">
        <v>1</v>
      </c>
      <c r="B6" s="152" t="s">
        <v>173</v>
      </c>
      <c r="C6" s="151" t="s">
        <v>65</v>
      </c>
      <c r="D6" s="151">
        <v>670</v>
      </c>
      <c r="E6" s="153"/>
      <c r="F6" s="153"/>
      <c r="G6" s="154"/>
      <c r="H6" s="153"/>
      <c r="I6" s="153"/>
    </row>
    <row r="7" spans="1:9">
      <c r="A7" s="151">
        <v>2</v>
      </c>
      <c r="B7" s="152" t="s">
        <v>174</v>
      </c>
      <c r="C7" s="151" t="s">
        <v>65</v>
      </c>
      <c r="D7" s="151">
        <v>40</v>
      </c>
      <c r="E7" s="153"/>
      <c r="F7" s="153"/>
      <c r="G7" s="154"/>
      <c r="H7" s="153"/>
      <c r="I7" s="153"/>
    </row>
    <row r="8" spans="1:9">
      <c r="A8" s="151">
        <v>3</v>
      </c>
      <c r="B8" s="152" t="s">
        <v>175</v>
      </c>
      <c r="C8" s="151" t="s">
        <v>65</v>
      </c>
      <c r="D8" s="151">
        <v>146</v>
      </c>
      <c r="E8" s="153"/>
      <c r="F8" s="153"/>
      <c r="G8" s="154"/>
      <c r="H8" s="153"/>
      <c r="I8" s="153"/>
    </row>
    <row r="9" spans="1:9">
      <c r="A9" s="151">
        <v>4</v>
      </c>
      <c r="B9" s="152" t="s">
        <v>176</v>
      </c>
      <c r="C9" s="151" t="s">
        <v>65</v>
      </c>
      <c r="D9" s="151">
        <v>164</v>
      </c>
      <c r="E9" s="153"/>
      <c r="F9" s="153"/>
      <c r="G9" s="154"/>
      <c r="H9" s="153"/>
      <c r="I9" s="153"/>
    </row>
    <row r="10" spans="1:9">
      <c r="A10" s="151">
        <v>5</v>
      </c>
      <c r="B10" s="152" t="s">
        <v>177</v>
      </c>
      <c r="C10" s="151" t="s">
        <v>65</v>
      </c>
      <c r="D10" s="151">
        <v>28</v>
      </c>
      <c r="E10" s="153"/>
      <c r="F10" s="153"/>
      <c r="G10" s="154"/>
      <c r="H10" s="153"/>
      <c r="I10" s="153"/>
    </row>
    <row r="11" spans="1:9">
      <c r="A11" s="151">
        <v>6</v>
      </c>
      <c r="B11" s="152" t="s">
        <v>178</v>
      </c>
      <c r="C11" s="151" t="s">
        <v>65</v>
      </c>
      <c r="D11" s="151">
        <v>34</v>
      </c>
      <c r="E11" s="153"/>
      <c r="F11" s="153"/>
      <c r="G11" s="154"/>
      <c r="H11" s="153"/>
      <c r="I11" s="153"/>
    </row>
    <row r="12" spans="1:9">
      <c r="A12" s="151">
        <v>7</v>
      </c>
      <c r="B12" s="152" t="s">
        <v>179</v>
      </c>
      <c r="C12" s="151" t="s">
        <v>65</v>
      </c>
      <c r="D12" s="151">
        <v>20</v>
      </c>
      <c r="E12" s="153"/>
      <c r="F12" s="153"/>
      <c r="G12" s="154"/>
      <c r="H12" s="153"/>
      <c r="I12" s="153"/>
    </row>
    <row r="13" spans="1:9">
      <c r="A13" s="151">
        <v>8</v>
      </c>
      <c r="B13" s="152" t="s">
        <v>180</v>
      </c>
      <c r="C13" s="151" t="s">
        <v>65</v>
      </c>
      <c r="D13" s="151">
        <v>30</v>
      </c>
      <c r="E13" s="153"/>
      <c r="F13" s="153"/>
      <c r="G13" s="154"/>
      <c r="H13" s="153"/>
      <c r="I13" s="153"/>
    </row>
    <row r="14" spans="1:9">
      <c r="A14" s="151">
        <v>9</v>
      </c>
      <c r="B14" s="152" t="s">
        <v>181</v>
      </c>
      <c r="C14" s="151" t="s">
        <v>31</v>
      </c>
      <c r="D14" s="151">
        <v>50</v>
      </c>
      <c r="E14" s="154"/>
      <c r="F14" s="153"/>
      <c r="G14" s="154"/>
      <c r="H14" s="153"/>
      <c r="I14" s="153"/>
    </row>
    <row r="15" spans="1:9">
      <c r="A15" s="151">
        <v>10</v>
      </c>
      <c r="B15" s="152" t="s">
        <v>182</v>
      </c>
      <c r="C15" s="151" t="s">
        <v>31</v>
      </c>
      <c r="D15" s="151">
        <v>18</v>
      </c>
      <c r="E15" s="153"/>
      <c r="F15" s="153"/>
      <c r="G15" s="154"/>
      <c r="H15" s="153"/>
      <c r="I15" s="153"/>
    </row>
    <row r="16" spans="1:9">
      <c r="A16" s="151">
        <v>11</v>
      </c>
      <c r="B16" s="152" t="s">
        <v>183</v>
      </c>
      <c r="C16" s="151" t="s">
        <v>31</v>
      </c>
      <c r="D16" s="151">
        <v>73</v>
      </c>
      <c r="E16" s="153"/>
      <c r="F16" s="153"/>
      <c r="G16" s="154"/>
      <c r="H16" s="153"/>
      <c r="I16" s="153"/>
    </row>
    <row r="17" spans="1:9">
      <c r="A17" s="151">
        <v>12</v>
      </c>
      <c r="B17" s="152" t="s">
        <v>184</v>
      </c>
      <c r="C17" s="151" t="s">
        <v>31</v>
      </c>
      <c r="D17" s="151">
        <v>14</v>
      </c>
      <c r="E17" s="153"/>
      <c r="F17" s="153"/>
      <c r="G17" s="154"/>
      <c r="H17" s="153"/>
      <c r="I17" s="153"/>
    </row>
    <row r="18" spans="1:9">
      <c r="A18" s="151">
        <v>13</v>
      </c>
      <c r="B18" s="152" t="s">
        <v>185</v>
      </c>
      <c r="C18" s="151" t="s">
        <v>31</v>
      </c>
      <c r="D18" s="151">
        <v>1</v>
      </c>
      <c r="E18" s="153"/>
      <c r="F18" s="153"/>
      <c r="G18" s="154"/>
      <c r="H18" s="153"/>
      <c r="I18" s="153"/>
    </row>
    <row r="19" spans="1:9">
      <c r="A19" s="151">
        <v>14</v>
      </c>
      <c r="B19" s="152" t="s">
        <v>186</v>
      </c>
      <c r="C19" s="151" t="s">
        <v>187</v>
      </c>
      <c r="D19" s="151">
        <v>37</v>
      </c>
      <c r="E19" s="154"/>
      <c r="F19" s="153"/>
      <c r="G19" s="154"/>
      <c r="H19" s="153"/>
      <c r="I19" s="153"/>
    </row>
    <row r="20" spans="1:9">
      <c r="A20" s="151">
        <v>15</v>
      </c>
      <c r="B20" s="152" t="s">
        <v>188</v>
      </c>
      <c r="C20" s="151" t="s">
        <v>187</v>
      </c>
      <c r="D20" s="151">
        <v>3</v>
      </c>
      <c r="E20" s="154"/>
      <c r="F20" s="153"/>
      <c r="G20" s="154"/>
      <c r="H20" s="153"/>
      <c r="I20" s="153"/>
    </row>
    <row r="21" spans="1:9">
      <c r="A21" s="151">
        <v>16</v>
      </c>
      <c r="B21" s="152" t="s">
        <v>189</v>
      </c>
      <c r="C21" s="151" t="s">
        <v>187</v>
      </c>
      <c r="D21" s="151">
        <v>5</v>
      </c>
      <c r="E21" s="154"/>
      <c r="F21" s="153"/>
      <c r="G21" s="154"/>
      <c r="H21" s="153"/>
      <c r="I21" s="153"/>
    </row>
    <row r="22" spans="1:9">
      <c r="A22" s="151">
        <v>17</v>
      </c>
      <c r="B22" s="152" t="s">
        <v>190</v>
      </c>
      <c r="C22" s="151" t="s">
        <v>31</v>
      </c>
      <c r="D22" s="151">
        <v>36</v>
      </c>
      <c r="E22" s="154"/>
      <c r="F22" s="153"/>
      <c r="G22" s="154"/>
      <c r="H22" s="153"/>
      <c r="I22" s="153"/>
    </row>
    <row r="23" spans="1:9">
      <c r="A23" s="151">
        <v>18</v>
      </c>
      <c r="B23" s="152" t="s">
        <v>191</v>
      </c>
      <c r="C23" s="151" t="s">
        <v>31</v>
      </c>
      <c r="D23" s="151">
        <v>200</v>
      </c>
      <c r="E23" s="154"/>
      <c r="F23" s="153"/>
      <c r="G23" s="154"/>
      <c r="H23" s="153"/>
      <c r="I23" s="153"/>
    </row>
    <row r="24" spans="1:9">
      <c r="A24" s="151">
        <v>19</v>
      </c>
      <c r="B24" s="152" t="s">
        <v>192</v>
      </c>
      <c r="C24" s="151" t="s">
        <v>31</v>
      </c>
      <c r="D24" s="151">
        <v>70</v>
      </c>
      <c r="E24" s="154"/>
      <c r="F24" s="153"/>
      <c r="G24" s="154"/>
      <c r="H24" s="153"/>
      <c r="I24" s="153"/>
    </row>
    <row r="25" spans="1:9">
      <c r="A25" s="151">
        <v>20</v>
      </c>
      <c r="B25" s="152" t="s">
        <v>193</v>
      </c>
      <c r="C25" s="151" t="s">
        <v>31</v>
      </c>
      <c r="D25" s="151">
        <v>80</v>
      </c>
      <c r="E25" s="154"/>
      <c r="F25" s="153"/>
      <c r="G25" s="154"/>
      <c r="H25" s="153"/>
      <c r="I25" s="153"/>
    </row>
    <row r="26" spans="1:9">
      <c r="A26" s="151">
        <v>21</v>
      </c>
      <c r="B26" s="152" t="s">
        <v>194</v>
      </c>
      <c r="C26" s="151" t="s">
        <v>31</v>
      </c>
      <c r="D26" s="151">
        <v>14</v>
      </c>
      <c r="E26" s="154"/>
      <c r="F26" s="153"/>
      <c r="G26" s="154"/>
      <c r="H26" s="153"/>
      <c r="I26" s="153"/>
    </row>
    <row r="27" spans="1:9">
      <c r="A27" s="151">
        <v>22</v>
      </c>
      <c r="B27" s="152" t="s">
        <v>195</v>
      </c>
      <c r="C27" s="151" t="s">
        <v>31</v>
      </c>
      <c r="D27" s="151">
        <v>20</v>
      </c>
      <c r="E27" s="154"/>
      <c r="F27" s="153"/>
      <c r="G27" s="154"/>
      <c r="H27" s="153"/>
      <c r="I27" s="153"/>
    </row>
    <row r="28" spans="1:9">
      <c r="A28" s="151">
        <v>23</v>
      </c>
      <c r="B28" s="152" t="s">
        <v>196</v>
      </c>
      <c r="C28" s="151" t="s">
        <v>31</v>
      </c>
      <c r="D28" s="151">
        <v>5</v>
      </c>
      <c r="E28" s="155"/>
      <c r="F28" s="153"/>
      <c r="G28" s="154"/>
      <c r="H28" s="153"/>
      <c r="I28" s="153"/>
    </row>
    <row r="29" spans="1:9">
      <c r="A29" s="151">
        <v>24</v>
      </c>
      <c r="B29" s="152" t="s">
        <v>197</v>
      </c>
      <c r="C29" s="151" t="s">
        <v>80</v>
      </c>
      <c r="D29" s="151">
        <v>3.8</v>
      </c>
      <c r="E29" s="153"/>
      <c r="F29" s="153"/>
      <c r="G29" s="153"/>
      <c r="H29" s="153"/>
      <c r="I29" s="153"/>
    </row>
    <row r="30" spans="1:9">
      <c r="A30" s="151">
        <v>25</v>
      </c>
      <c r="B30" s="152" t="s">
        <v>198</v>
      </c>
      <c r="C30" s="151" t="s">
        <v>31</v>
      </c>
      <c r="D30" s="151">
        <v>396</v>
      </c>
      <c r="E30" s="153"/>
      <c r="F30" s="153"/>
      <c r="G30" s="153"/>
      <c r="H30" s="153"/>
      <c r="I30" s="153"/>
    </row>
    <row r="31" spans="1:9">
      <c r="A31" s="151">
        <v>26</v>
      </c>
      <c r="B31" s="152" t="s">
        <v>199</v>
      </c>
      <c r="C31" s="151" t="s">
        <v>31</v>
      </c>
      <c r="D31" s="151">
        <v>14</v>
      </c>
      <c r="E31" s="153"/>
      <c r="F31" s="153"/>
      <c r="G31" s="153"/>
      <c r="H31" s="153"/>
      <c r="I31" s="153"/>
    </row>
    <row r="32" spans="1:9">
      <c r="A32" s="151">
        <v>27</v>
      </c>
      <c r="B32" s="152" t="s">
        <v>200</v>
      </c>
      <c r="C32" s="151" t="s">
        <v>31</v>
      </c>
      <c r="D32" s="151">
        <v>30</v>
      </c>
      <c r="E32" s="153"/>
      <c r="F32" s="153"/>
      <c r="G32" s="153"/>
      <c r="H32" s="153"/>
      <c r="I32" s="153"/>
    </row>
    <row r="33" spans="1:9">
      <c r="A33" s="151">
        <v>28</v>
      </c>
      <c r="B33" s="152" t="s">
        <v>201</v>
      </c>
      <c r="C33" s="151" t="s">
        <v>31</v>
      </c>
      <c r="D33" s="151">
        <v>2</v>
      </c>
      <c r="E33" s="153"/>
      <c r="F33" s="153"/>
      <c r="G33" s="153"/>
      <c r="H33" s="153"/>
      <c r="I33" s="153"/>
    </row>
    <row r="34" spans="1:9">
      <c r="A34" s="151">
        <v>29</v>
      </c>
      <c r="B34" s="152" t="s">
        <v>202</v>
      </c>
      <c r="C34" s="151" t="s">
        <v>31</v>
      </c>
      <c r="D34" s="151">
        <v>2</v>
      </c>
      <c r="E34" s="153"/>
      <c r="F34" s="153"/>
      <c r="G34" s="153"/>
      <c r="H34" s="153"/>
      <c r="I34" s="153"/>
    </row>
    <row r="35" spans="1:9">
      <c r="A35" s="151">
        <v>30</v>
      </c>
      <c r="B35" s="152" t="s">
        <v>203</v>
      </c>
      <c r="C35" s="151" t="s">
        <v>31</v>
      </c>
      <c r="D35" s="151">
        <v>5</v>
      </c>
      <c r="E35" s="153"/>
      <c r="F35" s="153"/>
      <c r="G35" s="153"/>
      <c r="H35" s="153"/>
      <c r="I35" s="153"/>
    </row>
    <row r="36" spans="1:9">
      <c r="A36" s="151">
        <v>31</v>
      </c>
      <c r="B36" s="152" t="s">
        <v>204</v>
      </c>
      <c r="C36" s="151" t="s">
        <v>31</v>
      </c>
      <c r="D36" s="151">
        <v>118</v>
      </c>
      <c r="E36" s="153"/>
      <c r="F36" s="153"/>
      <c r="G36" s="153"/>
      <c r="H36" s="153"/>
      <c r="I36" s="153"/>
    </row>
    <row r="37" spans="1:9">
      <c r="A37" s="151">
        <v>32</v>
      </c>
      <c r="B37" s="152" t="s">
        <v>205</v>
      </c>
      <c r="C37" s="151" t="s">
        <v>31</v>
      </c>
      <c r="D37" s="151">
        <v>10</v>
      </c>
      <c r="E37" s="153"/>
      <c r="F37" s="153"/>
      <c r="G37" s="153"/>
      <c r="H37" s="153"/>
      <c r="I37" s="153"/>
    </row>
    <row r="38" spans="1:9">
      <c r="A38" s="151">
        <v>33</v>
      </c>
      <c r="B38" s="152" t="s">
        <v>206</v>
      </c>
      <c r="C38" s="151" t="s">
        <v>31</v>
      </c>
      <c r="D38" s="151">
        <v>4</v>
      </c>
      <c r="E38" s="153"/>
      <c r="F38" s="153"/>
      <c r="G38" s="153"/>
      <c r="H38" s="153"/>
      <c r="I38" s="153"/>
    </row>
    <row r="39" spans="1:9">
      <c r="A39" s="151">
        <v>34</v>
      </c>
      <c r="B39" s="152" t="s">
        <v>207</v>
      </c>
      <c r="C39" s="151" t="s">
        <v>31</v>
      </c>
      <c r="D39" s="151">
        <v>4</v>
      </c>
      <c r="E39" s="153"/>
      <c r="F39" s="153"/>
      <c r="G39" s="153"/>
      <c r="H39" s="153"/>
      <c r="I39" s="153"/>
    </row>
    <row r="40" spans="1:9">
      <c r="A40" s="151">
        <v>35</v>
      </c>
      <c r="B40" s="152" t="s">
        <v>208</v>
      </c>
      <c r="C40" s="151" t="s">
        <v>31</v>
      </c>
      <c r="D40" s="151">
        <v>6</v>
      </c>
      <c r="E40" s="153"/>
      <c r="F40" s="153"/>
      <c r="G40" s="153"/>
      <c r="H40" s="153"/>
      <c r="I40" s="153"/>
    </row>
    <row r="41" spans="1:9">
      <c r="A41" s="151">
        <v>36</v>
      </c>
      <c r="B41" s="152" t="s">
        <v>209</v>
      </c>
      <c r="C41" s="151" t="s">
        <v>31</v>
      </c>
      <c r="D41" s="151">
        <v>2</v>
      </c>
      <c r="E41" s="153"/>
      <c r="F41" s="153"/>
      <c r="G41" s="153"/>
      <c r="H41" s="153"/>
      <c r="I41" s="153"/>
    </row>
    <row r="42" spans="1:9">
      <c r="A42" s="151">
        <v>37</v>
      </c>
      <c r="B42" s="152" t="s">
        <v>210</v>
      </c>
      <c r="C42" s="151" t="s">
        <v>31</v>
      </c>
      <c r="D42" s="151">
        <v>1</v>
      </c>
      <c r="E42" s="153"/>
      <c r="F42" s="153"/>
      <c r="G42" s="153"/>
      <c r="H42" s="153"/>
      <c r="I42" s="153"/>
    </row>
    <row r="43" spans="1:9">
      <c r="A43" s="151">
        <v>38</v>
      </c>
      <c r="B43" s="152" t="s">
        <v>211</v>
      </c>
      <c r="C43" s="151" t="s">
        <v>31</v>
      </c>
      <c r="D43" s="151">
        <v>2</v>
      </c>
      <c r="E43" s="153"/>
      <c r="F43" s="153"/>
      <c r="G43" s="153"/>
      <c r="H43" s="153"/>
      <c r="I43" s="153"/>
    </row>
    <row r="44" spans="1:9">
      <c r="A44" s="151">
        <v>39</v>
      </c>
      <c r="B44" s="152" t="s">
        <v>212</v>
      </c>
      <c r="C44" s="151" t="s">
        <v>31</v>
      </c>
      <c r="D44" s="151">
        <v>4</v>
      </c>
      <c r="E44" s="153"/>
      <c r="F44" s="153"/>
      <c r="G44" s="153"/>
      <c r="H44" s="153"/>
      <c r="I44" s="153"/>
    </row>
    <row r="45" spans="1:9">
      <c r="A45" s="151">
        <v>40</v>
      </c>
      <c r="B45" s="152" t="s">
        <v>213</v>
      </c>
      <c r="C45" s="151" t="s">
        <v>31</v>
      </c>
      <c r="D45" s="151">
        <v>2</v>
      </c>
      <c r="E45" s="153"/>
      <c r="F45" s="153"/>
      <c r="G45" s="153"/>
      <c r="H45" s="153"/>
      <c r="I45" s="153"/>
    </row>
    <row r="46" spans="1:9">
      <c r="A46" s="151">
        <v>41</v>
      </c>
      <c r="B46" s="152" t="s">
        <v>214</v>
      </c>
      <c r="C46" s="151" t="s">
        <v>31</v>
      </c>
      <c r="D46" s="151">
        <v>20</v>
      </c>
      <c r="E46" s="153"/>
      <c r="F46" s="153"/>
      <c r="G46" s="153"/>
      <c r="H46" s="153"/>
      <c r="I46" s="153"/>
    </row>
    <row r="47" spans="1:9">
      <c r="A47" s="151">
        <v>42</v>
      </c>
      <c r="B47" s="152" t="s">
        <v>215</v>
      </c>
      <c r="C47" s="151" t="s">
        <v>31</v>
      </c>
      <c r="D47" s="151">
        <v>2</v>
      </c>
      <c r="E47" s="153"/>
      <c r="F47" s="153"/>
      <c r="G47" s="153"/>
      <c r="H47" s="153"/>
      <c r="I47" s="153"/>
    </row>
    <row r="48" spans="1:9">
      <c r="A48" s="151">
        <v>43</v>
      </c>
      <c r="B48" s="152" t="s">
        <v>216</v>
      </c>
      <c r="C48" s="151" t="s">
        <v>31</v>
      </c>
      <c r="D48" s="151">
        <v>2</v>
      </c>
      <c r="E48" s="153"/>
      <c r="F48" s="153"/>
      <c r="G48" s="153"/>
      <c r="H48" s="153"/>
      <c r="I48" s="153"/>
    </row>
    <row r="49" spans="1:9">
      <c r="A49" s="151">
        <v>44</v>
      </c>
      <c r="B49" s="152" t="s">
        <v>217</v>
      </c>
      <c r="C49" s="151" t="s">
        <v>31</v>
      </c>
      <c r="D49" s="151">
        <v>79</v>
      </c>
      <c r="E49" s="153"/>
      <c r="F49" s="153"/>
      <c r="G49" s="153"/>
      <c r="H49" s="153"/>
      <c r="I49" s="153"/>
    </row>
    <row r="50" spans="1:9">
      <c r="A50" s="151">
        <v>45</v>
      </c>
      <c r="B50" s="152" t="s">
        <v>218</v>
      </c>
      <c r="C50" s="151" t="s">
        <v>31</v>
      </c>
      <c r="D50" s="151">
        <v>5</v>
      </c>
      <c r="E50" s="153"/>
      <c r="F50" s="153"/>
      <c r="G50" s="153"/>
      <c r="H50" s="153"/>
      <c r="I50" s="153"/>
    </row>
    <row r="51" spans="1:9">
      <c r="A51" s="151">
        <v>46</v>
      </c>
      <c r="B51" s="152" t="s">
        <v>219</v>
      </c>
      <c r="C51" s="151" t="s">
        <v>31</v>
      </c>
      <c r="D51" s="151">
        <v>12</v>
      </c>
      <c r="E51" s="153"/>
      <c r="F51" s="153"/>
      <c r="G51" s="153"/>
      <c r="H51" s="153"/>
      <c r="I51" s="153"/>
    </row>
    <row r="52" spans="1:9">
      <c r="A52" s="151">
        <v>47</v>
      </c>
      <c r="B52" s="152" t="s">
        <v>220</v>
      </c>
      <c r="C52" s="151" t="s">
        <v>31</v>
      </c>
      <c r="D52" s="151">
        <v>27</v>
      </c>
      <c r="E52" s="153"/>
      <c r="F52" s="153"/>
      <c r="G52" s="153"/>
      <c r="H52" s="153"/>
      <c r="I52" s="153"/>
    </row>
    <row r="53" spans="1:9">
      <c r="A53" s="151">
        <v>48</v>
      </c>
      <c r="B53" s="152" t="s">
        <v>221</v>
      </c>
      <c r="C53" s="151" t="s">
        <v>31</v>
      </c>
      <c r="D53" s="151">
        <v>1</v>
      </c>
      <c r="E53" s="153"/>
      <c r="F53" s="153"/>
      <c r="G53" s="153"/>
      <c r="H53" s="153"/>
      <c r="I53" s="153"/>
    </row>
    <row r="54" spans="1:9">
      <c r="A54" s="151">
        <v>49</v>
      </c>
      <c r="B54" s="152" t="s">
        <v>222</v>
      </c>
      <c r="C54" s="151" t="s">
        <v>31</v>
      </c>
      <c r="D54" s="151">
        <v>1</v>
      </c>
      <c r="E54" s="153"/>
      <c r="F54" s="153"/>
      <c r="G54" s="153"/>
      <c r="H54" s="153"/>
      <c r="I54" s="153"/>
    </row>
    <row r="55" spans="1:9">
      <c r="A55" s="151">
        <v>50</v>
      </c>
      <c r="B55" s="152" t="s">
        <v>223</v>
      </c>
      <c r="C55" s="151" t="s">
        <v>31</v>
      </c>
      <c r="D55" s="151">
        <v>2</v>
      </c>
      <c r="E55" s="153"/>
      <c r="F55" s="153"/>
      <c r="G55" s="153"/>
      <c r="H55" s="153"/>
      <c r="I55" s="153"/>
    </row>
    <row r="56" spans="1:9">
      <c r="A56" s="151">
        <v>51</v>
      </c>
      <c r="B56" s="152" t="s">
        <v>224</v>
      </c>
      <c r="C56" s="151" t="s">
        <v>31</v>
      </c>
      <c r="D56" s="151">
        <v>2</v>
      </c>
      <c r="E56" s="153"/>
      <c r="F56" s="153"/>
      <c r="G56" s="153"/>
      <c r="H56" s="153"/>
      <c r="I56" s="153"/>
    </row>
    <row r="57" spans="1:9">
      <c r="A57" s="151">
        <v>52</v>
      </c>
      <c r="B57" s="152" t="s">
        <v>225</v>
      </c>
      <c r="C57" s="151" t="s">
        <v>31</v>
      </c>
      <c r="D57" s="151">
        <v>1</v>
      </c>
      <c r="E57" s="153"/>
      <c r="F57" s="153"/>
      <c r="G57" s="153"/>
      <c r="H57" s="153"/>
      <c r="I57" s="153"/>
    </row>
    <row r="58" spans="1:9">
      <c r="A58" s="151">
        <v>53</v>
      </c>
      <c r="B58" s="152" t="s">
        <v>226</v>
      </c>
      <c r="C58" s="151" t="s">
        <v>31</v>
      </c>
      <c r="D58" s="151">
        <v>1</v>
      </c>
      <c r="E58" s="153"/>
      <c r="F58" s="153"/>
      <c r="G58" s="153"/>
      <c r="H58" s="153"/>
      <c r="I58" s="153"/>
    </row>
    <row r="59" spans="1:9">
      <c r="A59" s="151">
        <v>54</v>
      </c>
      <c r="B59" s="152" t="s">
        <v>227</v>
      </c>
      <c r="C59" s="151" t="s">
        <v>31</v>
      </c>
      <c r="D59" s="151">
        <v>50</v>
      </c>
      <c r="E59" s="153"/>
      <c r="F59" s="153"/>
      <c r="G59" s="153"/>
      <c r="H59" s="153"/>
      <c r="I59" s="153"/>
    </row>
    <row r="60" spans="1:9">
      <c r="A60" s="156"/>
      <c r="B60" s="157" t="s">
        <v>228</v>
      </c>
      <c r="C60" s="156"/>
      <c r="D60" s="156"/>
      <c r="E60" s="158"/>
      <c r="F60" s="158"/>
      <c r="G60" s="158"/>
      <c r="H60" s="158"/>
      <c r="I60" s="158"/>
    </row>
    <row r="61" spans="1:9">
      <c r="A61" s="151">
        <v>1</v>
      </c>
      <c r="B61" s="152" t="s">
        <v>229</v>
      </c>
      <c r="C61" s="151" t="s">
        <v>65</v>
      </c>
      <c r="D61" s="151">
        <v>156</v>
      </c>
      <c r="E61" s="153"/>
      <c r="F61" s="153"/>
      <c r="G61" s="153"/>
      <c r="H61" s="153"/>
      <c r="I61" s="153"/>
    </row>
    <row r="62" spans="1:9">
      <c r="A62" s="151">
        <v>2</v>
      </c>
      <c r="B62" s="152" t="s">
        <v>230</v>
      </c>
      <c r="C62" s="151" t="s">
        <v>65</v>
      </c>
      <c r="D62" s="151">
        <v>250</v>
      </c>
      <c r="E62" s="153"/>
      <c r="F62" s="153"/>
      <c r="G62" s="153"/>
      <c r="H62" s="153"/>
      <c r="I62" s="153"/>
    </row>
    <row r="63" spans="1:9">
      <c r="A63" s="151">
        <v>3</v>
      </c>
      <c r="B63" s="152" t="s">
        <v>231</v>
      </c>
      <c r="C63" s="151" t="s">
        <v>65</v>
      </c>
      <c r="D63" s="151">
        <v>14</v>
      </c>
      <c r="E63" s="153"/>
      <c r="F63" s="153"/>
      <c r="G63" s="153"/>
      <c r="H63" s="153"/>
      <c r="I63" s="153"/>
    </row>
    <row r="64" spans="1:9">
      <c r="A64" s="151">
        <v>4</v>
      </c>
      <c r="B64" s="152" t="s">
        <v>232</v>
      </c>
      <c r="C64" s="151" t="s">
        <v>31</v>
      </c>
      <c r="D64" s="151">
        <v>19</v>
      </c>
      <c r="E64" s="153"/>
      <c r="F64" s="153"/>
      <c r="G64" s="153"/>
      <c r="H64" s="153"/>
      <c r="I64" s="153"/>
    </row>
    <row r="65" spans="1:9">
      <c r="A65" s="151">
        <v>5</v>
      </c>
      <c r="B65" s="152" t="s">
        <v>233</v>
      </c>
      <c r="C65" s="151" t="s">
        <v>187</v>
      </c>
      <c r="D65" s="151">
        <v>45</v>
      </c>
      <c r="E65" s="153"/>
      <c r="F65" s="153"/>
      <c r="G65" s="153"/>
      <c r="H65" s="153"/>
      <c r="I65" s="153"/>
    </row>
    <row r="66" spans="1:9">
      <c r="A66" s="151">
        <v>6</v>
      </c>
      <c r="B66" s="152" t="s">
        <v>234</v>
      </c>
      <c r="C66" s="151" t="s">
        <v>187</v>
      </c>
      <c r="D66" s="151">
        <v>5</v>
      </c>
      <c r="E66" s="153"/>
      <c r="F66" s="153"/>
      <c r="G66" s="153"/>
      <c r="H66" s="153"/>
      <c r="I66" s="153"/>
    </row>
    <row r="67" spans="1:9">
      <c r="A67" s="151">
        <v>7</v>
      </c>
      <c r="B67" s="152" t="s">
        <v>235</v>
      </c>
      <c r="C67" s="151" t="s">
        <v>187</v>
      </c>
      <c r="D67" s="151">
        <v>45</v>
      </c>
      <c r="E67" s="153"/>
      <c r="F67" s="153"/>
      <c r="G67" s="153"/>
      <c r="H67" s="153"/>
      <c r="I67" s="153"/>
    </row>
    <row r="68" spans="1:9">
      <c r="A68" s="151">
        <v>8</v>
      </c>
      <c r="B68" s="152" t="s">
        <v>236</v>
      </c>
      <c r="C68" s="151" t="s">
        <v>187</v>
      </c>
      <c r="D68" s="151">
        <v>5</v>
      </c>
      <c r="E68" s="153"/>
      <c r="F68" s="153"/>
      <c r="G68" s="153"/>
      <c r="H68" s="153"/>
      <c r="I68" s="153"/>
    </row>
    <row r="69" spans="1:9">
      <c r="A69" s="151">
        <v>9</v>
      </c>
      <c r="B69" s="152" t="s">
        <v>237</v>
      </c>
      <c r="C69" s="151" t="s">
        <v>187</v>
      </c>
      <c r="D69" s="151">
        <v>4</v>
      </c>
      <c r="E69" s="153"/>
      <c r="F69" s="153"/>
      <c r="G69" s="153"/>
      <c r="H69" s="153"/>
      <c r="I69" s="153"/>
    </row>
    <row r="70" spans="1:9">
      <c r="A70" s="151">
        <v>10</v>
      </c>
      <c r="B70" s="152" t="s">
        <v>238</v>
      </c>
      <c r="C70" s="151" t="s">
        <v>187</v>
      </c>
      <c r="D70" s="151">
        <v>3</v>
      </c>
      <c r="E70" s="153"/>
      <c r="F70" s="153"/>
      <c r="G70" s="153"/>
      <c r="H70" s="153"/>
      <c r="I70" s="153"/>
    </row>
    <row r="71" spans="1:9">
      <c r="A71" s="151">
        <v>11</v>
      </c>
      <c r="B71" s="152" t="s">
        <v>239</v>
      </c>
      <c r="C71" s="151" t="s">
        <v>187</v>
      </c>
      <c r="D71" s="151">
        <v>2</v>
      </c>
      <c r="E71" s="153"/>
      <c r="F71" s="153"/>
      <c r="G71" s="153"/>
      <c r="H71" s="153"/>
      <c r="I71" s="153"/>
    </row>
    <row r="72" spans="1:9">
      <c r="A72" s="151">
        <v>12</v>
      </c>
      <c r="B72" s="152" t="s">
        <v>240</v>
      </c>
      <c r="C72" s="151" t="s">
        <v>31</v>
      </c>
      <c r="D72" s="151">
        <v>68</v>
      </c>
      <c r="E72" s="153"/>
      <c r="F72" s="153"/>
      <c r="G72" s="153"/>
      <c r="H72" s="153"/>
      <c r="I72" s="153"/>
    </row>
    <row r="73" spans="1:9">
      <c r="A73" s="151">
        <v>13</v>
      </c>
      <c r="B73" s="152" t="s">
        <v>241</v>
      </c>
      <c r="C73" s="151" t="s">
        <v>31</v>
      </c>
      <c r="D73" s="151">
        <v>5</v>
      </c>
      <c r="E73" s="153"/>
      <c r="F73" s="153"/>
      <c r="G73" s="153"/>
      <c r="H73" s="153"/>
      <c r="I73" s="153"/>
    </row>
    <row r="74" spans="1:9">
      <c r="A74" s="151">
        <v>14</v>
      </c>
      <c r="B74" s="152" t="s">
        <v>242</v>
      </c>
      <c r="C74" s="151" t="s">
        <v>31</v>
      </c>
      <c r="D74" s="151">
        <v>22</v>
      </c>
      <c r="E74" s="153"/>
      <c r="F74" s="153"/>
      <c r="G74" s="153"/>
      <c r="H74" s="153"/>
      <c r="I74" s="153"/>
    </row>
    <row r="75" spans="1:9">
      <c r="A75" s="151">
        <v>15</v>
      </c>
      <c r="B75" s="152" t="s">
        <v>243</v>
      </c>
      <c r="C75" s="151" t="s">
        <v>31</v>
      </c>
      <c r="D75" s="151">
        <v>40</v>
      </c>
      <c r="E75" s="153"/>
      <c r="F75" s="153"/>
      <c r="G75" s="153"/>
      <c r="H75" s="153"/>
      <c r="I75" s="153"/>
    </row>
    <row r="76" spans="1:9">
      <c r="A76" s="151">
        <v>16</v>
      </c>
      <c r="B76" s="152" t="s">
        <v>244</v>
      </c>
      <c r="C76" s="151" t="s">
        <v>31</v>
      </c>
      <c r="D76" s="151">
        <v>35</v>
      </c>
      <c r="E76" s="153"/>
      <c r="F76" s="153"/>
      <c r="G76" s="153"/>
      <c r="H76" s="153"/>
      <c r="I76" s="153"/>
    </row>
    <row r="77" spans="1:9">
      <c r="A77" s="151">
        <v>17</v>
      </c>
      <c r="B77" s="152" t="s">
        <v>245</v>
      </c>
      <c r="C77" s="151" t="s">
        <v>31</v>
      </c>
      <c r="D77" s="151">
        <v>40</v>
      </c>
      <c r="E77" s="153"/>
      <c r="F77" s="153"/>
      <c r="G77" s="153"/>
      <c r="H77" s="153"/>
      <c r="I77" s="153"/>
    </row>
    <row r="78" spans="1:9">
      <c r="A78" s="151">
        <v>18</v>
      </c>
      <c r="B78" s="152" t="s">
        <v>246</v>
      </c>
      <c r="C78" s="151" t="s">
        <v>31</v>
      </c>
      <c r="D78" s="151">
        <v>54</v>
      </c>
      <c r="E78" s="153"/>
      <c r="F78" s="153"/>
      <c r="G78" s="153"/>
      <c r="H78" s="153"/>
      <c r="I78" s="153"/>
    </row>
    <row r="79" spans="1:9">
      <c r="A79" s="151">
        <v>19</v>
      </c>
      <c r="B79" s="152" t="s">
        <v>247</v>
      </c>
      <c r="C79" s="151" t="s">
        <v>31</v>
      </c>
      <c r="D79" s="151">
        <v>44</v>
      </c>
      <c r="E79" s="153"/>
      <c r="F79" s="153"/>
      <c r="G79" s="153"/>
      <c r="H79" s="153"/>
      <c r="I79" s="153"/>
    </row>
    <row r="80" spans="1:9">
      <c r="A80" s="151">
        <v>20</v>
      </c>
      <c r="B80" s="152" t="s">
        <v>248</v>
      </c>
      <c r="C80" s="151" t="s">
        <v>31</v>
      </c>
      <c r="D80" s="151">
        <v>33</v>
      </c>
      <c r="E80" s="153"/>
      <c r="F80" s="153"/>
      <c r="G80" s="153"/>
      <c r="H80" s="153"/>
      <c r="I80" s="153"/>
    </row>
    <row r="81" spans="1:9">
      <c r="A81" s="151">
        <v>21</v>
      </c>
      <c r="B81" s="152" t="s">
        <v>249</v>
      </c>
      <c r="C81" s="151" t="s">
        <v>31</v>
      </c>
      <c r="D81" s="151">
        <v>42</v>
      </c>
      <c r="E81" s="153"/>
      <c r="F81" s="153"/>
      <c r="G81" s="153"/>
      <c r="H81" s="153"/>
      <c r="I81" s="153"/>
    </row>
    <row r="82" spans="1:9">
      <c r="A82" s="151">
        <v>22</v>
      </c>
      <c r="B82" s="152" t="s">
        <v>250</v>
      </c>
      <c r="C82" s="151" t="s">
        <v>31</v>
      </c>
      <c r="D82" s="151">
        <v>3</v>
      </c>
      <c r="E82" s="153"/>
      <c r="F82" s="153"/>
      <c r="G82" s="153"/>
      <c r="H82" s="153"/>
      <c r="I82" s="153"/>
    </row>
    <row r="83" spans="1:9">
      <c r="A83" s="151">
        <v>23</v>
      </c>
      <c r="B83" s="152" t="s">
        <v>251</v>
      </c>
      <c r="C83" s="151" t="s">
        <v>31</v>
      </c>
      <c r="D83" s="151">
        <v>25</v>
      </c>
      <c r="E83" s="153"/>
      <c r="F83" s="153"/>
      <c r="G83" s="153"/>
      <c r="H83" s="153"/>
      <c r="I83" s="153"/>
    </row>
    <row r="84" spans="1:9">
      <c r="A84" s="151">
        <v>24</v>
      </c>
      <c r="B84" s="152" t="s">
        <v>252</v>
      </c>
      <c r="C84" s="151" t="s">
        <v>31</v>
      </c>
      <c r="D84" s="151">
        <v>3</v>
      </c>
      <c r="E84" s="153"/>
      <c r="F84" s="153"/>
      <c r="G84" s="153"/>
      <c r="H84" s="153"/>
      <c r="I84" s="153"/>
    </row>
    <row r="85" spans="1:9">
      <c r="A85" s="151">
        <v>25</v>
      </c>
      <c r="B85" s="152" t="s">
        <v>253</v>
      </c>
      <c r="C85" s="151" t="s">
        <v>31</v>
      </c>
      <c r="D85" s="151">
        <v>1</v>
      </c>
      <c r="E85" s="153"/>
      <c r="F85" s="153"/>
      <c r="G85" s="153"/>
      <c r="H85" s="153"/>
      <c r="I85" s="153"/>
    </row>
    <row r="86" spans="1:9">
      <c r="A86" s="147"/>
      <c r="B86" s="148" t="s">
        <v>254</v>
      </c>
      <c r="C86" s="149"/>
      <c r="D86" s="147"/>
      <c r="E86" s="158"/>
      <c r="F86" s="158"/>
      <c r="G86" s="158"/>
      <c r="H86" s="158"/>
      <c r="I86" s="158"/>
    </row>
    <row r="87" spans="1:9">
      <c r="A87" s="151"/>
      <c r="B87" s="161" t="s">
        <v>265</v>
      </c>
      <c r="C87" s="151"/>
      <c r="D87" s="151"/>
      <c r="E87" s="153"/>
      <c r="F87" s="153"/>
      <c r="G87" s="153"/>
      <c r="H87" s="153"/>
      <c r="I87" s="153"/>
    </row>
    <row r="88" spans="1:9">
      <c r="A88" s="151">
        <v>56</v>
      </c>
      <c r="B88" s="152" t="s">
        <v>266</v>
      </c>
      <c r="C88" s="151" t="s">
        <v>256</v>
      </c>
      <c r="D88" s="151">
        <v>318</v>
      </c>
      <c r="E88" s="153"/>
      <c r="F88" s="153"/>
      <c r="G88" s="153"/>
      <c r="H88" s="153"/>
      <c r="I88" s="153"/>
    </row>
    <row r="89" spans="1:9">
      <c r="A89" s="151">
        <v>57</v>
      </c>
      <c r="B89" s="152" t="s">
        <v>255</v>
      </c>
      <c r="C89" s="151" t="s">
        <v>256</v>
      </c>
      <c r="D89" s="151">
        <v>95</v>
      </c>
      <c r="E89" s="153"/>
      <c r="F89" s="153"/>
      <c r="G89" s="153"/>
      <c r="H89" s="153"/>
      <c r="I89" s="153"/>
    </row>
    <row r="90" spans="1:9">
      <c r="A90" s="151">
        <v>58</v>
      </c>
      <c r="B90" s="152" t="s">
        <v>257</v>
      </c>
      <c r="C90" s="151" t="s">
        <v>256</v>
      </c>
      <c r="D90" s="151">
        <v>213</v>
      </c>
      <c r="E90" s="153"/>
      <c r="F90" s="153"/>
      <c r="G90" s="153"/>
      <c r="H90" s="153"/>
      <c r="I90" s="153"/>
    </row>
    <row r="91" spans="1:9">
      <c r="A91" s="151">
        <v>59</v>
      </c>
      <c r="B91" s="152" t="s">
        <v>258</v>
      </c>
      <c r="C91" s="151" t="s">
        <v>256</v>
      </c>
      <c r="D91" s="151">
        <v>168</v>
      </c>
      <c r="E91" s="153"/>
      <c r="F91" s="153"/>
      <c r="G91" s="153"/>
      <c r="H91" s="153"/>
      <c r="I91" s="153"/>
    </row>
    <row r="92" spans="1:9">
      <c r="A92" s="151">
        <v>60</v>
      </c>
      <c r="B92" s="152" t="s">
        <v>259</v>
      </c>
      <c r="C92" s="151" t="s">
        <v>256</v>
      </c>
      <c r="D92" s="151">
        <f>526+10</f>
        <v>536</v>
      </c>
      <c r="E92" s="153"/>
      <c r="F92" s="153"/>
      <c r="G92" s="153"/>
      <c r="H92" s="153"/>
      <c r="I92" s="153"/>
    </row>
    <row r="93" spans="1:9">
      <c r="A93" s="151">
        <v>61</v>
      </c>
      <c r="B93" s="152" t="s">
        <v>260</v>
      </c>
      <c r="C93" s="151" t="s">
        <v>256</v>
      </c>
      <c r="D93" s="151">
        <v>33</v>
      </c>
      <c r="E93" s="153"/>
      <c r="F93" s="153"/>
      <c r="G93" s="153"/>
      <c r="H93" s="153"/>
      <c r="I93" s="153"/>
    </row>
    <row r="94" spans="1:9">
      <c r="A94" s="151">
        <v>62</v>
      </c>
      <c r="B94" s="152" t="s">
        <v>261</v>
      </c>
      <c r="C94" s="151" t="s">
        <v>256</v>
      </c>
      <c r="D94" s="151">
        <v>20</v>
      </c>
      <c r="E94" s="153"/>
      <c r="F94" s="153"/>
      <c r="G94" s="153"/>
      <c r="H94" s="153"/>
      <c r="I94" s="153"/>
    </row>
    <row r="95" spans="1:9">
      <c r="A95" s="151">
        <v>63</v>
      </c>
      <c r="B95" s="152" t="s">
        <v>262</v>
      </c>
      <c r="C95" s="151" t="s">
        <v>256</v>
      </c>
      <c r="D95" s="151">
        <v>11</v>
      </c>
      <c r="E95" s="153"/>
      <c r="F95" s="153"/>
      <c r="G95" s="153"/>
      <c r="H95" s="153"/>
      <c r="I95" s="153"/>
    </row>
    <row r="96" spans="1:9">
      <c r="A96" s="151">
        <v>64</v>
      </c>
      <c r="B96" s="152" t="s">
        <v>263</v>
      </c>
      <c r="C96" s="151" t="s">
        <v>256</v>
      </c>
      <c r="D96" s="151">
        <v>11</v>
      </c>
      <c r="E96" s="153"/>
      <c r="F96" s="153"/>
      <c r="G96" s="153"/>
      <c r="H96" s="153"/>
      <c r="I96" s="153"/>
    </row>
    <row r="97" spans="1:9">
      <c r="A97" s="151">
        <v>65</v>
      </c>
      <c r="B97" s="152" t="s">
        <v>264</v>
      </c>
      <c r="C97" s="151" t="s">
        <v>256</v>
      </c>
      <c r="D97" s="151">
        <v>48</v>
      </c>
      <c r="E97" s="153"/>
      <c r="F97" s="153"/>
      <c r="G97" s="153"/>
      <c r="H97" s="153"/>
      <c r="I97" s="153"/>
    </row>
    <row r="98" spans="1:9">
      <c r="A98" s="151">
        <v>66</v>
      </c>
      <c r="B98" s="152" t="s">
        <v>267</v>
      </c>
      <c r="C98" s="151" t="s">
        <v>256</v>
      </c>
      <c r="D98" s="151">
        <v>16</v>
      </c>
      <c r="E98" s="153"/>
      <c r="F98" s="153"/>
      <c r="G98" s="153"/>
      <c r="H98" s="153"/>
      <c r="I98" s="153"/>
    </row>
    <row r="99" spans="1:9">
      <c r="A99" s="151">
        <v>67</v>
      </c>
      <c r="B99" s="152" t="s">
        <v>268</v>
      </c>
      <c r="C99" s="151" t="s">
        <v>187</v>
      </c>
      <c r="D99" s="151">
        <v>2</v>
      </c>
      <c r="E99" s="153"/>
      <c r="F99" s="153"/>
      <c r="G99" s="153"/>
      <c r="H99" s="153"/>
      <c r="I99" s="153"/>
    </row>
    <row r="100" spans="1:9">
      <c r="A100" s="151">
        <v>68</v>
      </c>
      <c r="B100" s="152" t="s">
        <v>269</v>
      </c>
      <c r="C100" s="151" t="s">
        <v>187</v>
      </c>
      <c r="D100" s="151">
        <v>7</v>
      </c>
      <c r="E100" s="153"/>
      <c r="F100" s="153"/>
      <c r="G100" s="153"/>
      <c r="H100" s="153"/>
      <c r="I100" s="153"/>
    </row>
    <row r="101" spans="1:9">
      <c r="A101" s="151">
        <v>69</v>
      </c>
      <c r="B101" s="152" t="s">
        <v>270</v>
      </c>
      <c r="C101" s="151" t="s">
        <v>187</v>
      </c>
      <c r="D101" s="151">
        <v>15</v>
      </c>
      <c r="E101" s="153"/>
      <c r="F101" s="153"/>
      <c r="G101" s="153"/>
      <c r="H101" s="153"/>
      <c r="I101" s="153"/>
    </row>
    <row r="102" spans="1:9">
      <c r="A102" s="151">
        <v>70</v>
      </c>
      <c r="B102" s="152" t="s">
        <v>271</v>
      </c>
      <c r="C102" s="151" t="s">
        <v>187</v>
      </c>
      <c r="D102" s="151">
        <v>5</v>
      </c>
      <c r="E102" s="153"/>
      <c r="F102" s="153"/>
      <c r="G102" s="153"/>
      <c r="H102" s="153"/>
      <c r="I102" s="153"/>
    </row>
    <row r="103" spans="1:9">
      <c r="A103" s="151">
        <v>71</v>
      </c>
      <c r="B103" s="152" t="s">
        <v>272</v>
      </c>
      <c r="C103" s="151" t="s">
        <v>187</v>
      </c>
      <c r="D103" s="151">
        <v>13</v>
      </c>
      <c r="E103" s="153"/>
      <c r="F103" s="153"/>
      <c r="G103" s="153"/>
      <c r="H103" s="153"/>
      <c r="I103" s="153"/>
    </row>
    <row r="104" spans="1:9">
      <c r="A104" s="151">
        <v>72</v>
      </c>
      <c r="B104" s="152" t="s">
        <v>273</v>
      </c>
      <c r="C104" s="151" t="s">
        <v>187</v>
      </c>
      <c r="D104" s="151">
        <v>14</v>
      </c>
      <c r="E104" s="153"/>
      <c r="F104" s="153"/>
      <c r="G104" s="153"/>
      <c r="H104" s="153"/>
      <c r="I104" s="153"/>
    </row>
    <row r="105" spans="1:9">
      <c r="A105" s="151">
        <v>73</v>
      </c>
      <c r="B105" s="152" t="s">
        <v>274</v>
      </c>
      <c r="C105" s="151" t="s">
        <v>187</v>
      </c>
      <c r="D105" s="151">
        <v>2</v>
      </c>
      <c r="E105" s="153"/>
      <c r="F105" s="153"/>
      <c r="G105" s="153"/>
      <c r="H105" s="153"/>
      <c r="I105" s="153"/>
    </row>
    <row r="106" spans="1:9">
      <c r="A106" s="151">
        <v>74</v>
      </c>
      <c r="B106" s="152" t="s">
        <v>275</v>
      </c>
      <c r="C106" s="151" t="s">
        <v>187</v>
      </c>
      <c r="D106" s="151">
        <v>11</v>
      </c>
      <c r="E106" s="153"/>
      <c r="F106" s="153"/>
      <c r="G106" s="153"/>
      <c r="H106" s="153"/>
      <c r="I106" s="153"/>
    </row>
    <row r="107" spans="1:9">
      <c r="A107" s="151">
        <v>75</v>
      </c>
      <c r="B107" s="152" t="s">
        <v>276</v>
      </c>
      <c r="C107" s="151" t="s">
        <v>187</v>
      </c>
      <c r="D107" s="151">
        <v>15</v>
      </c>
      <c r="E107" s="153"/>
      <c r="F107" s="153"/>
      <c r="G107" s="153"/>
      <c r="H107" s="153"/>
      <c r="I107" s="153"/>
    </row>
    <row r="108" spans="1:9">
      <c r="A108" s="151">
        <v>76</v>
      </c>
      <c r="B108" s="152" t="s">
        <v>277</v>
      </c>
      <c r="C108" s="151" t="s">
        <v>187</v>
      </c>
      <c r="D108" s="151">
        <v>12</v>
      </c>
      <c r="E108" s="153"/>
      <c r="F108" s="153"/>
      <c r="G108" s="153"/>
      <c r="H108" s="153"/>
      <c r="I108" s="153"/>
    </row>
    <row r="109" spans="1:9">
      <c r="A109" s="151">
        <v>77</v>
      </c>
      <c r="B109" s="152" t="s">
        <v>278</v>
      </c>
      <c r="C109" s="151" t="s">
        <v>31</v>
      </c>
      <c r="D109" s="151">
        <v>14</v>
      </c>
      <c r="E109" s="153"/>
      <c r="F109" s="153"/>
      <c r="G109" s="153"/>
      <c r="H109" s="153"/>
      <c r="I109" s="153"/>
    </row>
    <row r="110" spans="1:9">
      <c r="A110" s="151">
        <v>78</v>
      </c>
      <c r="B110" s="152" t="s">
        <v>279</v>
      </c>
      <c r="C110" s="151" t="s">
        <v>31</v>
      </c>
      <c r="D110" s="151">
        <v>96</v>
      </c>
      <c r="E110" s="153"/>
      <c r="F110" s="153"/>
      <c r="G110" s="153"/>
      <c r="H110" s="153"/>
      <c r="I110" s="153"/>
    </row>
    <row r="111" spans="1:9" ht="26.4">
      <c r="A111" s="151">
        <v>79</v>
      </c>
      <c r="B111" s="152" t="s">
        <v>280</v>
      </c>
      <c r="C111" s="151" t="s">
        <v>31</v>
      </c>
      <c r="D111" s="151">
        <v>82</v>
      </c>
      <c r="E111" s="160"/>
      <c r="F111" s="153"/>
      <c r="G111" s="153"/>
      <c r="H111" s="153"/>
      <c r="I111" s="153"/>
    </row>
    <row r="112" spans="1:9" ht="26.4">
      <c r="A112" s="151">
        <v>80</v>
      </c>
      <c r="B112" s="167" t="s">
        <v>281</v>
      </c>
      <c r="C112" s="151" t="s">
        <v>187</v>
      </c>
      <c r="D112" s="151">
        <v>2</v>
      </c>
      <c r="E112" s="153"/>
      <c r="F112" s="153"/>
      <c r="G112" s="153"/>
      <c r="H112" s="153"/>
      <c r="I112" s="153"/>
    </row>
    <row r="113" spans="1:9">
      <c r="A113" s="162"/>
      <c r="B113" s="163" t="s">
        <v>282</v>
      </c>
      <c r="C113" s="162"/>
      <c r="D113" s="162"/>
      <c r="E113" s="164"/>
      <c r="F113" s="158"/>
      <c r="G113" s="164"/>
      <c r="H113" s="158"/>
      <c r="I113" s="158"/>
    </row>
    <row r="114" spans="1:9">
      <c r="A114" s="170"/>
      <c r="B114" s="168" t="s">
        <v>286</v>
      </c>
      <c r="C114" s="170"/>
      <c r="D114" s="170"/>
      <c r="E114" s="169"/>
      <c r="F114" s="153"/>
      <c r="G114" s="169"/>
      <c r="H114" s="153"/>
      <c r="I114" s="153"/>
    </row>
    <row r="115" spans="1:9" ht="26.4">
      <c r="A115" s="171">
        <v>67</v>
      </c>
      <c r="B115" s="167" t="s">
        <v>287</v>
      </c>
      <c r="C115" s="166" t="s">
        <v>187</v>
      </c>
      <c r="D115" s="166">
        <v>1</v>
      </c>
      <c r="E115" s="169"/>
      <c r="F115" s="153"/>
      <c r="G115" s="169"/>
      <c r="H115" s="153"/>
      <c r="I115" s="153"/>
    </row>
    <row r="116" spans="1:9" ht="26.4">
      <c r="A116" s="171">
        <v>68</v>
      </c>
      <c r="B116" s="167" t="s">
        <v>284</v>
      </c>
      <c r="C116" s="166" t="s">
        <v>256</v>
      </c>
      <c r="D116" s="166">
        <v>8.8000000000000007</v>
      </c>
      <c r="E116" s="169"/>
      <c r="F116" s="153"/>
      <c r="G116" s="169"/>
      <c r="H116" s="153"/>
      <c r="I116" s="153"/>
    </row>
    <row r="117" spans="1:9" ht="26.4">
      <c r="A117" s="171">
        <v>69</v>
      </c>
      <c r="B117" s="167" t="s">
        <v>285</v>
      </c>
      <c r="C117" s="166" t="s">
        <v>256</v>
      </c>
      <c r="D117" s="166">
        <v>14.3</v>
      </c>
      <c r="E117" s="169"/>
      <c r="F117" s="153"/>
      <c r="G117" s="169"/>
      <c r="H117" s="153"/>
      <c r="I117" s="153"/>
    </row>
    <row r="118" spans="1:9" ht="26.4">
      <c r="A118" s="171">
        <v>70</v>
      </c>
      <c r="B118" s="167" t="s">
        <v>288</v>
      </c>
      <c r="C118" s="166" t="s">
        <v>256</v>
      </c>
      <c r="D118" s="166">
        <v>8.8000000000000007</v>
      </c>
      <c r="E118" s="169"/>
      <c r="F118" s="153"/>
      <c r="G118" s="169"/>
      <c r="H118" s="153"/>
      <c r="I118" s="153"/>
    </row>
    <row r="119" spans="1:9">
      <c r="A119" s="171">
        <v>71</v>
      </c>
      <c r="B119" s="165" t="s">
        <v>283</v>
      </c>
      <c r="C119" s="166" t="s">
        <v>31</v>
      </c>
      <c r="D119" s="166">
        <v>12</v>
      </c>
      <c r="E119" s="169"/>
      <c r="F119" s="153"/>
      <c r="G119" s="169"/>
      <c r="H119" s="153"/>
      <c r="I119" s="153"/>
    </row>
    <row r="120" spans="1:9">
      <c r="A120" s="171">
        <v>72</v>
      </c>
      <c r="B120" s="167" t="s">
        <v>289</v>
      </c>
      <c r="C120" s="166" t="s">
        <v>290</v>
      </c>
      <c r="D120" s="166">
        <v>7</v>
      </c>
      <c r="E120" s="169"/>
      <c r="F120" s="153"/>
      <c r="G120" s="169"/>
      <c r="H120" s="153"/>
      <c r="I120" s="153"/>
    </row>
    <row r="121" spans="1:9">
      <c r="A121" s="170"/>
      <c r="B121" s="168" t="s">
        <v>291</v>
      </c>
      <c r="C121" s="170"/>
      <c r="D121" s="170"/>
      <c r="E121" s="169"/>
      <c r="F121" s="153"/>
      <c r="G121" s="169"/>
      <c r="H121" s="153"/>
      <c r="I121" s="153"/>
    </row>
    <row r="122" spans="1:9" ht="26.4">
      <c r="A122" s="171">
        <v>73</v>
      </c>
      <c r="B122" s="167" t="s">
        <v>292</v>
      </c>
      <c r="C122" s="166" t="s">
        <v>187</v>
      </c>
      <c r="D122" s="166">
        <v>2</v>
      </c>
      <c r="E122" s="169"/>
      <c r="F122" s="153"/>
      <c r="G122" s="169"/>
      <c r="H122" s="153"/>
      <c r="I122" s="153"/>
    </row>
    <row r="123" spans="1:9" ht="26.4">
      <c r="A123" s="171">
        <v>74</v>
      </c>
      <c r="B123" s="167" t="s">
        <v>293</v>
      </c>
      <c r="C123" s="166" t="s">
        <v>256</v>
      </c>
      <c r="D123" s="166">
        <v>5</v>
      </c>
      <c r="E123" s="169"/>
      <c r="F123" s="153"/>
      <c r="G123" s="169"/>
      <c r="H123" s="153"/>
      <c r="I123" s="153"/>
    </row>
    <row r="124" spans="1:9" ht="26.4">
      <c r="A124" s="171">
        <v>75</v>
      </c>
      <c r="B124" s="167" t="s">
        <v>294</v>
      </c>
      <c r="C124" s="166" t="s">
        <v>256</v>
      </c>
      <c r="D124" s="166">
        <v>8</v>
      </c>
      <c r="E124" s="169"/>
      <c r="F124" s="153"/>
      <c r="G124" s="169"/>
      <c r="H124" s="153"/>
      <c r="I124" s="153"/>
    </row>
    <row r="125" spans="1:9">
      <c r="A125" s="171">
        <v>76</v>
      </c>
      <c r="B125" s="165" t="s">
        <v>283</v>
      </c>
      <c r="C125" s="166" t="s">
        <v>31</v>
      </c>
      <c r="D125" s="166">
        <v>2</v>
      </c>
      <c r="E125" s="169"/>
      <c r="F125" s="153"/>
      <c r="G125" s="169"/>
      <c r="H125" s="153"/>
      <c r="I125" s="153"/>
    </row>
    <row r="126" spans="1:9">
      <c r="A126" s="171">
        <v>77</v>
      </c>
      <c r="B126" s="167" t="s">
        <v>289</v>
      </c>
      <c r="C126" s="166" t="s">
        <v>290</v>
      </c>
      <c r="D126" s="166">
        <v>5</v>
      </c>
      <c r="E126" s="169"/>
      <c r="F126" s="153"/>
      <c r="G126" s="169"/>
      <c r="H126" s="153"/>
      <c r="I126" s="153"/>
    </row>
    <row r="127" spans="1:9">
      <c r="A127" s="171">
        <v>78</v>
      </c>
      <c r="B127" s="168" t="s">
        <v>295</v>
      </c>
      <c r="C127" s="170"/>
      <c r="D127" s="170"/>
      <c r="E127" s="169"/>
      <c r="F127" s="153"/>
      <c r="G127" s="169"/>
      <c r="H127" s="153"/>
      <c r="I127" s="153"/>
    </row>
    <row r="128" spans="1:9" ht="26.4">
      <c r="A128" s="171">
        <v>79</v>
      </c>
      <c r="B128" s="167" t="s">
        <v>292</v>
      </c>
      <c r="C128" s="166" t="s">
        <v>187</v>
      </c>
      <c r="D128" s="166">
        <v>6</v>
      </c>
      <c r="E128" s="169"/>
      <c r="F128" s="153"/>
      <c r="G128" s="169"/>
      <c r="H128" s="153"/>
      <c r="I128" s="153"/>
    </row>
    <row r="129" spans="1:9" ht="26.4">
      <c r="A129" s="171">
        <v>80</v>
      </c>
      <c r="B129" s="167" t="s">
        <v>293</v>
      </c>
      <c r="C129" s="166" t="s">
        <v>256</v>
      </c>
      <c r="D129" s="166">
        <v>14</v>
      </c>
      <c r="E129" s="169"/>
      <c r="F129" s="153"/>
      <c r="G129" s="169"/>
      <c r="H129" s="153"/>
      <c r="I129" s="153"/>
    </row>
    <row r="130" spans="1:9" ht="26.4">
      <c r="A130" s="171">
        <v>81</v>
      </c>
      <c r="B130" s="167" t="s">
        <v>296</v>
      </c>
      <c r="C130" s="166" t="s">
        <v>256</v>
      </c>
      <c r="D130" s="166">
        <v>14.3</v>
      </c>
      <c r="E130" s="169"/>
      <c r="F130" s="153"/>
      <c r="G130" s="169"/>
      <c r="H130" s="153"/>
      <c r="I130" s="153"/>
    </row>
    <row r="131" spans="1:9">
      <c r="A131" s="171">
        <v>82</v>
      </c>
      <c r="B131" s="165" t="s">
        <v>283</v>
      </c>
      <c r="C131" s="166" t="s">
        <v>31</v>
      </c>
      <c r="D131" s="166">
        <v>12</v>
      </c>
      <c r="E131" s="169"/>
      <c r="F131" s="153"/>
      <c r="G131" s="169"/>
      <c r="H131" s="153"/>
      <c r="I131" s="153"/>
    </row>
    <row r="132" spans="1:9">
      <c r="A132" s="171">
        <v>83</v>
      </c>
      <c r="B132" s="167" t="s">
        <v>289</v>
      </c>
      <c r="C132" s="166" t="s">
        <v>290</v>
      </c>
      <c r="D132" s="166">
        <v>8</v>
      </c>
      <c r="E132" s="169"/>
      <c r="F132" s="153"/>
      <c r="G132" s="169"/>
      <c r="H132" s="153"/>
      <c r="I132" s="153"/>
    </row>
    <row r="133" spans="1:9">
      <c r="A133" s="162"/>
      <c r="B133" s="172" t="s">
        <v>297</v>
      </c>
      <c r="C133" s="162"/>
      <c r="D133" s="162"/>
      <c r="E133" s="162"/>
      <c r="F133" s="162"/>
      <c r="G133" s="162"/>
      <c r="H133" s="162"/>
      <c r="I133" s="162"/>
    </row>
    <row r="134" spans="1:9" ht="39.6">
      <c r="A134" s="171">
        <v>1</v>
      </c>
      <c r="B134" s="173" t="s">
        <v>298</v>
      </c>
      <c r="C134" s="171" t="s">
        <v>187</v>
      </c>
      <c r="D134" s="171">
        <v>2</v>
      </c>
      <c r="E134" s="215"/>
      <c r="F134" s="153"/>
      <c r="G134" s="174"/>
      <c r="H134" s="153"/>
      <c r="I134" s="153"/>
    </row>
    <row r="135" spans="1:9" ht="26.4">
      <c r="A135" s="171">
        <v>2</v>
      </c>
      <c r="B135" s="173" t="s">
        <v>299</v>
      </c>
      <c r="C135" s="171" t="s">
        <v>187</v>
      </c>
      <c r="D135" s="171">
        <v>2</v>
      </c>
      <c r="E135" s="215"/>
      <c r="F135" s="153"/>
      <c r="G135" s="174"/>
      <c r="H135" s="153"/>
      <c r="I135" s="153"/>
    </row>
    <row r="136" spans="1:9">
      <c r="A136" s="171">
        <v>3</v>
      </c>
      <c r="B136" s="170" t="s">
        <v>300</v>
      </c>
      <c r="C136" s="171" t="s">
        <v>187</v>
      </c>
      <c r="D136" s="171">
        <v>2</v>
      </c>
      <c r="E136" s="174"/>
      <c r="F136" s="153"/>
      <c r="G136" s="174"/>
      <c r="H136" s="153"/>
      <c r="I136" s="153"/>
    </row>
    <row r="137" spans="1:9">
      <c r="A137" s="171">
        <v>4</v>
      </c>
      <c r="B137" s="170" t="s">
        <v>301</v>
      </c>
      <c r="C137" s="171" t="s">
        <v>187</v>
      </c>
      <c r="D137" s="171">
        <v>3</v>
      </c>
      <c r="E137" s="174"/>
      <c r="F137" s="153"/>
      <c r="G137" s="174"/>
      <c r="H137" s="153"/>
      <c r="I137" s="153"/>
    </row>
    <row r="138" spans="1:9">
      <c r="A138" s="171">
        <v>5</v>
      </c>
      <c r="B138" s="170" t="s">
        <v>302</v>
      </c>
      <c r="C138" s="171" t="s">
        <v>187</v>
      </c>
      <c r="D138" s="171">
        <v>1</v>
      </c>
      <c r="E138" s="174"/>
      <c r="F138" s="153"/>
      <c r="G138" s="174"/>
      <c r="H138" s="153"/>
      <c r="I138" s="153"/>
    </row>
    <row r="139" spans="1:9" ht="27">
      <c r="A139" s="171">
        <v>6</v>
      </c>
      <c r="B139" s="173" t="s">
        <v>303</v>
      </c>
      <c r="C139" s="171" t="s">
        <v>187</v>
      </c>
      <c r="D139" s="171">
        <v>2</v>
      </c>
      <c r="E139" s="175"/>
      <c r="F139" s="153"/>
      <c r="G139" s="153"/>
      <c r="H139" s="153"/>
      <c r="I139" s="153"/>
    </row>
    <row r="140" spans="1:9" ht="25.8">
      <c r="A140" s="171">
        <v>7</v>
      </c>
      <c r="B140" s="173" t="s">
        <v>304</v>
      </c>
      <c r="C140" s="171" t="s">
        <v>187</v>
      </c>
      <c r="D140" s="171">
        <v>2</v>
      </c>
      <c r="E140" s="175"/>
      <c r="F140" s="153"/>
      <c r="G140" s="153"/>
      <c r="H140" s="153"/>
      <c r="I140" s="153"/>
    </row>
    <row r="141" spans="1:9" ht="25.8">
      <c r="A141" s="171">
        <v>8</v>
      </c>
      <c r="B141" s="173" t="s">
        <v>305</v>
      </c>
      <c r="C141" s="171" t="s">
        <v>187</v>
      </c>
      <c r="D141" s="171">
        <v>2</v>
      </c>
      <c r="E141" s="175"/>
      <c r="F141" s="153"/>
      <c r="G141" s="153"/>
      <c r="H141" s="153"/>
      <c r="I141" s="153"/>
    </row>
    <row r="142" spans="1:9">
      <c r="A142" s="171">
        <v>9</v>
      </c>
      <c r="B142" s="170" t="s">
        <v>306</v>
      </c>
      <c r="C142" s="171" t="s">
        <v>187</v>
      </c>
      <c r="D142" s="171">
        <v>1</v>
      </c>
      <c r="E142" s="174"/>
      <c r="F142" s="153"/>
      <c r="G142" s="174"/>
      <c r="H142" s="153"/>
      <c r="I142" s="153"/>
    </row>
    <row r="143" spans="1:9">
      <c r="A143" s="171">
        <v>10</v>
      </c>
      <c r="B143" s="170" t="s">
        <v>307</v>
      </c>
      <c r="C143" s="171" t="s">
        <v>187</v>
      </c>
      <c r="D143" s="171">
        <v>2</v>
      </c>
      <c r="E143" s="174"/>
      <c r="F143" s="153"/>
      <c r="G143" s="174"/>
      <c r="H143" s="153"/>
      <c r="I143" s="153"/>
    </row>
    <row r="144" spans="1:9">
      <c r="A144" s="171">
        <v>11</v>
      </c>
      <c r="B144" s="170" t="s">
        <v>308</v>
      </c>
      <c r="C144" s="171" t="s">
        <v>187</v>
      </c>
      <c r="D144" s="171">
        <v>2</v>
      </c>
      <c r="E144" s="174"/>
      <c r="F144" s="153"/>
      <c r="G144" s="174"/>
      <c r="H144" s="153"/>
      <c r="I144" s="153"/>
    </row>
    <row r="145" spans="1:9">
      <c r="A145" s="171">
        <v>12</v>
      </c>
      <c r="B145" s="170" t="s">
        <v>309</v>
      </c>
      <c r="C145" s="171" t="s">
        <v>65</v>
      </c>
      <c r="D145" s="171">
        <v>2</v>
      </c>
      <c r="E145" s="174"/>
      <c r="F145" s="153"/>
      <c r="G145" s="174"/>
      <c r="H145" s="153"/>
      <c r="I145" s="153"/>
    </row>
    <row r="146" spans="1:9" ht="26.4">
      <c r="A146" s="171">
        <v>13</v>
      </c>
      <c r="B146" s="173" t="s">
        <v>310</v>
      </c>
      <c r="C146" s="171" t="s">
        <v>311</v>
      </c>
      <c r="D146" s="171">
        <v>7.5</v>
      </c>
      <c r="E146" s="174"/>
      <c r="F146" s="153"/>
      <c r="G146" s="174"/>
      <c r="H146" s="153"/>
      <c r="I146" s="153"/>
    </row>
    <row r="147" spans="1:9">
      <c r="A147" s="171">
        <v>14</v>
      </c>
      <c r="B147" s="170" t="s">
        <v>312</v>
      </c>
      <c r="C147" s="171" t="s">
        <v>21</v>
      </c>
      <c r="D147" s="171">
        <v>0.8</v>
      </c>
      <c r="E147" s="174"/>
      <c r="F147" s="153"/>
      <c r="G147" s="174"/>
      <c r="H147" s="153"/>
      <c r="I147" s="153"/>
    </row>
    <row r="148" spans="1:9" ht="13.8">
      <c r="A148" s="171">
        <v>15</v>
      </c>
      <c r="B148" s="170" t="s">
        <v>313</v>
      </c>
      <c r="C148" s="171" t="s">
        <v>311</v>
      </c>
      <c r="D148" s="171">
        <v>11.5</v>
      </c>
      <c r="E148" s="174"/>
      <c r="F148" s="153"/>
      <c r="G148" s="174"/>
      <c r="H148" s="153"/>
      <c r="I148" s="153"/>
    </row>
    <row r="149" spans="1:9">
      <c r="A149" s="171">
        <v>16</v>
      </c>
      <c r="B149" s="170" t="s">
        <v>314</v>
      </c>
      <c r="C149" s="171" t="s">
        <v>65</v>
      </c>
      <c r="D149" s="176">
        <v>25</v>
      </c>
      <c r="E149" s="174"/>
      <c r="F149" s="153"/>
      <c r="G149" s="174"/>
      <c r="H149" s="153"/>
      <c r="I149" s="153"/>
    </row>
    <row r="150" spans="1:9">
      <c r="A150" s="171">
        <v>17</v>
      </c>
      <c r="B150" s="170" t="s">
        <v>315</v>
      </c>
      <c r="C150" s="171" t="s">
        <v>65</v>
      </c>
      <c r="D150" s="176">
        <v>18</v>
      </c>
      <c r="E150" s="174"/>
      <c r="F150" s="153"/>
      <c r="G150" s="174"/>
      <c r="H150" s="153"/>
      <c r="I150" s="153"/>
    </row>
    <row r="151" spans="1:9">
      <c r="A151" s="171">
        <v>18</v>
      </c>
      <c r="B151" s="170" t="s">
        <v>316</v>
      </c>
      <c r="C151" s="171" t="s">
        <v>65</v>
      </c>
      <c r="D151" s="176">
        <v>17</v>
      </c>
      <c r="E151" s="174"/>
      <c r="F151" s="153"/>
      <c r="G151" s="174"/>
      <c r="H151" s="153"/>
      <c r="I151" s="153"/>
    </row>
    <row r="152" spans="1:9">
      <c r="A152" s="171">
        <v>19</v>
      </c>
      <c r="B152" s="170" t="s">
        <v>317</v>
      </c>
      <c r="C152" s="171" t="s">
        <v>65</v>
      </c>
      <c r="D152" s="176">
        <v>15</v>
      </c>
      <c r="E152" s="174"/>
      <c r="F152" s="153"/>
      <c r="G152" s="174"/>
      <c r="H152" s="153"/>
      <c r="I152" s="153"/>
    </row>
    <row r="153" spans="1:9">
      <c r="A153" s="171">
        <v>20</v>
      </c>
      <c r="B153" s="170" t="s">
        <v>318</v>
      </c>
      <c r="C153" s="171" t="s">
        <v>65</v>
      </c>
      <c r="D153" s="176">
        <v>9</v>
      </c>
      <c r="E153" s="174"/>
      <c r="F153" s="153"/>
      <c r="G153" s="174"/>
      <c r="H153" s="153"/>
      <c r="I153" s="153"/>
    </row>
    <row r="154" spans="1:9">
      <c r="A154" s="171">
        <v>21</v>
      </c>
      <c r="B154" s="170" t="s">
        <v>319</v>
      </c>
      <c r="C154" s="171" t="s">
        <v>65</v>
      </c>
      <c r="D154" s="176">
        <v>5</v>
      </c>
      <c r="E154" s="174"/>
      <c r="F154" s="153"/>
      <c r="G154" s="174"/>
      <c r="H154" s="153"/>
      <c r="I154" s="153"/>
    </row>
    <row r="155" spans="1:9">
      <c r="A155" s="171">
        <v>22</v>
      </c>
      <c r="B155" s="170" t="s">
        <v>320</v>
      </c>
      <c r="C155" s="171" t="s">
        <v>65</v>
      </c>
      <c r="D155" s="176">
        <v>4</v>
      </c>
      <c r="E155" s="174"/>
      <c r="F155" s="153"/>
      <c r="G155" s="174"/>
      <c r="H155" s="153"/>
      <c r="I155" s="153"/>
    </row>
    <row r="156" spans="1:9">
      <c r="A156" s="171">
        <v>23</v>
      </c>
      <c r="B156" s="170" t="s">
        <v>321</v>
      </c>
      <c r="C156" s="176" t="s">
        <v>31</v>
      </c>
      <c r="D156" s="176">
        <v>2</v>
      </c>
      <c r="E156" s="174"/>
      <c r="F156" s="153"/>
      <c r="G156" s="174"/>
      <c r="H156" s="153"/>
      <c r="I156" s="153"/>
    </row>
    <row r="157" spans="1:9">
      <c r="A157" s="171">
        <v>24</v>
      </c>
      <c r="B157" s="170" t="s">
        <v>322</v>
      </c>
      <c r="C157" s="176" t="s">
        <v>31</v>
      </c>
      <c r="D157" s="176">
        <v>8</v>
      </c>
      <c r="E157" s="174"/>
      <c r="F157" s="153"/>
      <c r="G157" s="174"/>
      <c r="H157" s="153"/>
      <c r="I157" s="153"/>
    </row>
    <row r="158" spans="1:9">
      <c r="A158" s="171">
        <v>25</v>
      </c>
      <c r="B158" s="170" t="s">
        <v>323</v>
      </c>
      <c r="C158" s="176" t="s">
        <v>31</v>
      </c>
      <c r="D158" s="176">
        <v>5</v>
      </c>
      <c r="E158" s="174"/>
      <c r="F158" s="153"/>
      <c r="G158" s="174"/>
      <c r="H158" s="153"/>
      <c r="I158" s="153"/>
    </row>
    <row r="159" spans="1:9">
      <c r="A159" s="171">
        <v>26</v>
      </c>
      <c r="B159" s="170" t="s">
        <v>324</v>
      </c>
      <c r="C159" s="176" t="s">
        <v>31</v>
      </c>
      <c r="D159" s="176">
        <v>4</v>
      </c>
      <c r="E159" s="174"/>
      <c r="F159" s="153"/>
      <c r="G159" s="174"/>
      <c r="H159" s="153"/>
      <c r="I159" s="153"/>
    </row>
    <row r="160" spans="1:9">
      <c r="A160" s="171">
        <v>27</v>
      </c>
      <c r="B160" s="170" t="s">
        <v>325</v>
      </c>
      <c r="C160" s="176" t="s">
        <v>31</v>
      </c>
      <c r="D160" s="176">
        <v>20</v>
      </c>
      <c r="E160" s="174"/>
      <c r="F160" s="153"/>
      <c r="G160" s="174"/>
      <c r="H160" s="153"/>
      <c r="I160" s="153"/>
    </row>
    <row r="161" spans="1:9">
      <c r="A161" s="171">
        <v>28</v>
      </c>
      <c r="B161" s="170" t="s">
        <v>326</v>
      </c>
      <c r="C161" s="176" t="s">
        <v>31</v>
      </c>
      <c r="D161" s="176">
        <v>6</v>
      </c>
      <c r="E161" s="174"/>
      <c r="F161" s="153"/>
      <c r="G161" s="174"/>
      <c r="H161" s="153"/>
      <c r="I161" s="153"/>
    </row>
    <row r="162" spans="1:9">
      <c r="A162" s="171">
        <v>29</v>
      </c>
      <c r="B162" s="170" t="s">
        <v>327</v>
      </c>
      <c r="C162" s="176" t="s">
        <v>31</v>
      </c>
      <c r="D162" s="176">
        <v>3</v>
      </c>
      <c r="E162" s="174"/>
      <c r="F162" s="153"/>
      <c r="G162" s="174"/>
      <c r="H162" s="153"/>
      <c r="I162" s="153"/>
    </row>
    <row r="163" spans="1:9">
      <c r="A163" s="171">
        <v>30</v>
      </c>
      <c r="B163" s="170" t="s">
        <v>328</v>
      </c>
      <c r="C163" s="176" t="s">
        <v>31</v>
      </c>
      <c r="D163" s="176">
        <v>3</v>
      </c>
      <c r="E163" s="174"/>
      <c r="F163" s="153"/>
      <c r="G163" s="174"/>
      <c r="H163" s="153"/>
      <c r="I163" s="153"/>
    </row>
    <row r="164" spans="1:9">
      <c r="A164" s="171">
        <v>31</v>
      </c>
      <c r="B164" s="170" t="s">
        <v>329</v>
      </c>
      <c r="C164" s="176" t="s">
        <v>31</v>
      </c>
      <c r="D164" s="176">
        <v>2</v>
      </c>
      <c r="E164" s="174"/>
      <c r="F164" s="153"/>
      <c r="G164" s="174"/>
      <c r="H164" s="153"/>
      <c r="I164" s="153"/>
    </row>
    <row r="165" spans="1:9">
      <c r="A165" s="171">
        <v>32</v>
      </c>
      <c r="B165" s="170" t="s">
        <v>330</v>
      </c>
      <c r="C165" s="176" t="s">
        <v>31</v>
      </c>
      <c r="D165" s="176">
        <v>2</v>
      </c>
      <c r="E165" s="174"/>
      <c r="F165" s="153"/>
      <c r="G165" s="174"/>
      <c r="H165" s="153"/>
      <c r="I165" s="153"/>
    </row>
    <row r="166" spans="1:9">
      <c r="A166" s="171">
        <v>33</v>
      </c>
      <c r="B166" s="170" t="s">
        <v>331</v>
      </c>
      <c r="C166" s="176" t="s">
        <v>31</v>
      </c>
      <c r="D166" s="176">
        <v>3</v>
      </c>
      <c r="E166" s="174"/>
      <c r="F166" s="153"/>
      <c r="G166" s="174"/>
      <c r="H166" s="153"/>
      <c r="I166" s="153"/>
    </row>
    <row r="167" spans="1:9">
      <c r="A167" s="171">
        <v>34</v>
      </c>
      <c r="B167" s="170" t="s">
        <v>332</v>
      </c>
      <c r="C167" s="176" t="s">
        <v>31</v>
      </c>
      <c r="D167" s="176">
        <v>1</v>
      </c>
      <c r="E167" s="174"/>
      <c r="F167" s="153"/>
      <c r="G167" s="174"/>
      <c r="H167" s="153"/>
      <c r="I167" s="153"/>
    </row>
    <row r="168" spans="1:9">
      <c r="A168" s="171">
        <v>35</v>
      </c>
      <c r="B168" s="170" t="s">
        <v>333</v>
      </c>
      <c r="C168" s="176" t="s">
        <v>31</v>
      </c>
      <c r="D168" s="176">
        <v>3</v>
      </c>
      <c r="E168" s="174"/>
      <c r="F168" s="153"/>
      <c r="G168" s="174"/>
      <c r="H168" s="153"/>
      <c r="I168" s="153"/>
    </row>
    <row r="169" spans="1:9">
      <c r="A169" s="171">
        <v>36</v>
      </c>
      <c r="B169" s="170" t="s">
        <v>334</v>
      </c>
      <c r="C169" s="176" t="s">
        <v>31</v>
      </c>
      <c r="D169" s="176">
        <v>2</v>
      </c>
      <c r="E169" s="174"/>
      <c r="F169" s="153"/>
      <c r="G169" s="174"/>
      <c r="H169" s="153"/>
      <c r="I169" s="153"/>
    </row>
    <row r="170" spans="1:9">
      <c r="A170" s="171">
        <v>37</v>
      </c>
      <c r="B170" s="170" t="s">
        <v>335</v>
      </c>
      <c r="C170" s="176" t="s">
        <v>31</v>
      </c>
      <c r="D170" s="176">
        <v>2</v>
      </c>
      <c r="E170" s="174"/>
      <c r="F170" s="153"/>
      <c r="G170" s="174"/>
      <c r="H170" s="153"/>
      <c r="I170" s="153"/>
    </row>
    <row r="171" spans="1:9">
      <c r="A171" s="171">
        <v>38</v>
      </c>
      <c r="B171" s="170" t="s">
        <v>336</v>
      </c>
      <c r="C171" s="176" t="s">
        <v>31</v>
      </c>
      <c r="D171" s="176">
        <v>1</v>
      </c>
      <c r="E171" s="174"/>
      <c r="F171" s="153"/>
      <c r="G171" s="174"/>
      <c r="H171" s="153"/>
      <c r="I171" s="153"/>
    </row>
    <row r="172" spans="1:9">
      <c r="A172" s="171">
        <v>39</v>
      </c>
      <c r="B172" s="170" t="s">
        <v>337</v>
      </c>
      <c r="C172" s="176" t="s">
        <v>31</v>
      </c>
      <c r="D172" s="176">
        <v>2</v>
      </c>
      <c r="E172" s="174"/>
      <c r="F172" s="153"/>
      <c r="G172" s="174"/>
      <c r="H172" s="153"/>
      <c r="I172" s="153"/>
    </row>
    <row r="173" spans="1:9">
      <c r="A173" s="171">
        <v>40</v>
      </c>
      <c r="B173" s="170" t="s">
        <v>338</v>
      </c>
      <c r="C173" s="176" t="s">
        <v>31</v>
      </c>
      <c r="D173" s="176">
        <v>1</v>
      </c>
      <c r="E173" s="174"/>
      <c r="F173" s="153"/>
      <c r="G173" s="174"/>
      <c r="H173" s="153"/>
      <c r="I173" s="153"/>
    </row>
    <row r="174" spans="1:9">
      <c r="A174" s="171">
        <v>41</v>
      </c>
      <c r="B174" s="170" t="s">
        <v>339</v>
      </c>
      <c r="C174" s="176" t="s">
        <v>31</v>
      </c>
      <c r="D174" s="176">
        <v>1</v>
      </c>
      <c r="E174" s="174"/>
      <c r="F174" s="153"/>
      <c r="G174" s="174"/>
      <c r="H174" s="153"/>
      <c r="I174" s="153"/>
    </row>
    <row r="175" spans="1:9">
      <c r="A175" s="171">
        <v>42</v>
      </c>
      <c r="B175" s="170" t="s">
        <v>340</v>
      </c>
      <c r="C175" s="176" t="s">
        <v>31</v>
      </c>
      <c r="D175" s="176">
        <v>1</v>
      </c>
      <c r="E175" s="174"/>
      <c r="F175" s="153"/>
      <c r="G175" s="174"/>
      <c r="H175" s="153"/>
      <c r="I175" s="153"/>
    </row>
    <row r="176" spans="1:9">
      <c r="A176" s="171">
        <v>43</v>
      </c>
      <c r="B176" s="170" t="s">
        <v>341</v>
      </c>
      <c r="C176" s="176" t="s">
        <v>31</v>
      </c>
      <c r="D176" s="176">
        <v>6</v>
      </c>
      <c r="E176" s="174"/>
      <c r="F176" s="153"/>
      <c r="G176" s="174"/>
      <c r="H176" s="153"/>
      <c r="I176" s="153"/>
    </row>
    <row r="177" spans="1:9">
      <c r="A177" s="171">
        <v>44</v>
      </c>
      <c r="B177" s="170" t="s">
        <v>342</v>
      </c>
      <c r="C177" s="176" t="s">
        <v>31</v>
      </c>
      <c r="D177" s="176">
        <v>8</v>
      </c>
      <c r="E177" s="174"/>
      <c r="F177" s="153"/>
      <c r="G177" s="174"/>
      <c r="H177" s="153"/>
      <c r="I177" s="153"/>
    </row>
    <row r="178" spans="1:9">
      <c r="A178" s="171">
        <v>45</v>
      </c>
      <c r="B178" s="170" t="s">
        <v>343</v>
      </c>
      <c r="C178" s="176" t="s">
        <v>31</v>
      </c>
      <c r="D178" s="176">
        <v>2</v>
      </c>
      <c r="E178" s="174"/>
      <c r="F178" s="153"/>
      <c r="G178" s="174"/>
      <c r="H178" s="153"/>
      <c r="I178" s="153"/>
    </row>
    <row r="179" spans="1:9" ht="13.8">
      <c r="A179" s="171">
        <v>46</v>
      </c>
      <c r="B179" s="170" t="s">
        <v>344</v>
      </c>
      <c r="C179" s="171" t="s">
        <v>311</v>
      </c>
      <c r="D179" s="176">
        <v>27</v>
      </c>
      <c r="E179" s="174"/>
      <c r="F179" s="153"/>
      <c r="G179" s="174"/>
      <c r="H179" s="153"/>
      <c r="I179" s="153"/>
    </row>
    <row r="180" spans="1:9">
      <c r="A180" s="171">
        <v>47</v>
      </c>
      <c r="B180" s="170" t="s">
        <v>345</v>
      </c>
      <c r="C180" s="176" t="s">
        <v>19</v>
      </c>
      <c r="D180" s="176">
        <v>8</v>
      </c>
      <c r="E180" s="174"/>
      <c r="F180" s="153"/>
      <c r="G180" s="174"/>
      <c r="H180" s="153"/>
      <c r="I180" s="153"/>
    </row>
    <row r="181" spans="1:9">
      <c r="A181" s="171">
        <v>48</v>
      </c>
      <c r="B181" s="170" t="s">
        <v>346</v>
      </c>
      <c r="C181" s="176" t="s">
        <v>65</v>
      </c>
      <c r="D181" s="176">
        <v>25</v>
      </c>
      <c r="E181" s="174"/>
      <c r="F181" s="153"/>
      <c r="G181" s="174"/>
      <c r="H181" s="153"/>
      <c r="I181" s="153"/>
    </row>
    <row r="182" spans="1:9">
      <c r="A182" s="171">
        <v>49</v>
      </c>
      <c r="B182" s="170" t="s">
        <v>347</v>
      </c>
      <c r="C182" s="176" t="s">
        <v>65</v>
      </c>
      <c r="D182" s="176">
        <v>18</v>
      </c>
      <c r="E182" s="174"/>
      <c r="F182" s="153"/>
      <c r="G182" s="174"/>
      <c r="H182" s="153"/>
      <c r="I182" s="153"/>
    </row>
    <row r="183" spans="1:9">
      <c r="A183" s="171">
        <v>50</v>
      </c>
      <c r="B183" s="170" t="s">
        <v>348</v>
      </c>
      <c r="C183" s="176" t="s">
        <v>65</v>
      </c>
      <c r="D183" s="176">
        <v>17</v>
      </c>
      <c r="E183" s="174"/>
      <c r="F183" s="153"/>
      <c r="G183" s="174"/>
      <c r="H183" s="153"/>
      <c r="I183" s="153"/>
    </row>
    <row r="184" spans="1:9">
      <c r="A184" s="171">
        <v>51</v>
      </c>
      <c r="B184" s="170" t="s">
        <v>349</v>
      </c>
      <c r="C184" s="176" t="s">
        <v>65</v>
      </c>
      <c r="D184" s="176">
        <v>15</v>
      </c>
      <c r="E184" s="174"/>
      <c r="F184" s="153"/>
      <c r="G184" s="174"/>
      <c r="H184" s="153"/>
      <c r="I184" s="153"/>
    </row>
    <row r="185" spans="1:9">
      <c r="A185" s="171">
        <v>52</v>
      </c>
      <c r="B185" s="170" t="s">
        <v>350</v>
      </c>
      <c r="C185" s="176" t="s">
        <v>65</v>
      </c>
      <c r="D185" s="176">
        <v>9</v>
      </c>
      <c r="E185" s="174"/>
      <c r="F185" s="153"/>
      <c r="G185" s="174"/>
      <c r="H185" s="153"/>
      <c r="I185" s="153"/>
    </row>
    <row r="186" spans="1:9">
      <c r="A186" s="171">
        <v>53</v>
      </c>
      <c r="B186" s="170" t="s">
        <v>351</v>
      </c>
      <c r="C186" s="176" t="s">
        <v>65</v>
      </c>
      <c r="D186" s="176">
        <v>5</v>
      </c>
      <c r="E186" s="174"/>
      <c r="F186" s="153"/>
      <c r="G186" s="174"/>
      <c r="H186" s="153"/>
      <c r="I186" s="153"/>
    </row>
    <row r="187" spans="1:9">
      <c r="A187" s="171">
        <v>54</v>
      </c>
      <c r="B187" s="170" t="s">
        <v>352</v>
      </c>
      <c r="C187" s="176" t="s">
        <v>65</v>
      </c>
      <c r="D187" s="176">
        <v>4</v>
      </c>
      <c r="E187" s="174"/>
      <c r="F187" s="153"/>
      <c r="G187" s="174"/>
      <c r="H187" s="153"/>
      <c r="I187" s="153"/>
    </row>
    <row r="188" spans="1:9">
      <c r="A188" s="171">
        <v>55</v>
      </c>
      <c r="B188" s="170" t="s">
        <v>353</v>
      </c>
      <c r="C188" s="176" t="s">
        <v>65</v>
      </c>
      <c r="D188" s="176">
        <v>15</v>
      </c>
      <c r="E188" s="174"/>
      <c r="F188" s="153"/>
      <c r="G188" s="174"/>
      <c r="H188" s="153"/>
      <c r="I188" s="153"/>
    </row>
    <row r="189" spans="1:9">
      <c r="A189" s="171">
        <v>56</v>
      </c>
      <c r="B189" s="170" t="s">
        <v>354</v>
      </c>
      <c r="C189" s="176" t="s">
        <v>65</v>
      </c>
      <c r="D189" s="176">
        <v>12</v>
      </c>
      <c r="E189" s="174"/>
      <c r="F189" s="153"/>
      <c r="G189" s="174"/>
      <c r="H189" s="153"/>
      <c r="I189" s="153"/>
    </row>
    <row r="190" spans="1:9">
      <c r="A190" s="171">
        <v>57</v>
      </c>
      <c r="B190" s="170" t="s">
        <v>355</v>
      </c>
      <c r="C190" s="176" t="s">
        <v>65</v>
      </c>
      <c r="D190" s="176">
        <v>4</v>
      </c>
      <c r="E190" s="174"/>
      <c r="F190" s="153"/>
      <c r="G190" s="174"/>
      <c r="H190" s="153"/>
      <c r="I190" s="153"/>
    </row>
    <row r="191" spans="1:9">
      <c r="A191" s="171">
        <v>58</v>
      </c>
      <c r="B191" s="170" t="s">
        <v>356</v>
      </c>
      <c r="C191" s="176" t="s">
        <v>65</v>
      </c>
      <c r="D191" s="176">
        <v>2</v>
      </c>
      <c r="E191" s="174"/>
      <c r="F191" s="153"/>
      <c r="G191" s="174"/>
      <c r="H191" s="153"/>
      <c r="I191" s="153"/>
    </row>
    <row r="192" spans="1:9">
      <c r="A192" s="171">
        <v>59</v>
      </c>
      <c r="B192" s="170" t="s">
        <v>357</v>
      </c>
      <c r="C192" s="176" t="s">
        <v>65</v>
      </c>
      <c r="D192" s="176">
        <v>5</v>
      </c>
      <c r="E192" s="174"/>
      <c r="F192" s="153"/>
      <c r="G192" s="174"/>
      <c r="H192" s="153"/>
      <c r="I192" s="153"/>
    </row>
    <row r="193" spans="1:11">
      <c r="A193" s="171">
        <v>60</v>
      </c>
      <c r="B193" s="170" t="s">
        <v>358</v>
      </c>
      <c r="C193" s="176" t="s">
        <v>65</v>
      </c>
      <c r="D193" s="176">
        <v>8</v>
      </c>
      <c r="E193" s="174"/>
      <c r="F193" s="153"/>
      <c r="G193" s="174"/>
      <c r="H193" s="153"/>
      <c r="I193" s="153"/>
    </row>
    <row r="194" spans="1:11">
      <c r="A194" s="171">
        <v>61</v>
      </c>
      <c r="B194" s="170" t="s">
        <v>359</v>
      </c>
      <c r="C194" s="176" t="s">
        <v>31</v>
      </c>
      <c r="D194" s="176">
        <v>1</v>
      </c>
      <c r="E194" s="174"/>
      <c r="F194" s="153"/>
      <c r="G194" s="174"/>
      <c r="H194" s="153"/>
      <c r="I194" s="153"/>
    </row>
    <row r="195" spans="1:11">
      <c r="A195" s="171">
        <v>62</v>
      </c>
      <c r="B195" s="170" t="s">
        <v>360</v>
      </c>
      <c r="C195" s="176" t="s">
        <v>31</v>
      </c>
      <c r="D195" s="176">
        <v>1</v>
      </c>
      <c r="E195" s="174"/>
      <c r="F195" s="153"/>
      <c r="G195" s="174"/>
      <c r="H195" s="153"/>
      <c r="I195" s="153"/>
    </row>
    <row r="196" spans="1:11">
      <c r="A196" s="171">
        <v>63</v>
      </c>
      <c r="B196" s="170" t="s">
        <v>361</v>
      </c>
      <c r="C196" s="176" t="s">
        <v>31</v>
      </c>
      <c r="D196" s="176">
        <v>1</v>
      </c>
      <c r="E196" s="174"/>
      <c r="F196" s="153"/>
      <c r="G196" s="174"/>
      <c r="H196" s="153"/>
      <c r="I196" s="153"/>
    </row>
    <row r="197" spans="1:11">
      <c r="A197" s="171">
        <v>64</v>
      </c>
      <c r="B197" s="170" t="s">
        <v>362</v>
      </c>
      <c r="C197" s="176" t="s">
        <v>31</v>
      </c>
      <c r="D197" s="176">
        <v>1</v>
      </c>
      <c r="E197" s="174"/>
      <c r="F197" s="153"/>
      <c r="G197" s="174"/>
      <c r="H197" s="153"/>
      <c r="I197" s="153"/>
    </row>
    <row r="198" spans="1:11">
      <c r="A198" s="171">
        <v>65</v>
      </c>
      <c r="B198" s="170" t="s">
        <v>329</v>
      </c>
      <c r="C198" s="176" t="s">
        <v>31</v>
      </c>
      <c r="D198" s="176">
        <v>1</v>
      </c>
      <c r="E198" s="174"/>
      <c r="F198" s="153"/>
      <c r="G198" s="174"/>
      <c r="H198" s="153"/>
      <c r="I198" s="153"/>
    </row>
    <row r="199" spans="1:11">
      <c r="A199" s="171">
        <v>66</v>
      </c>
      <c r="B199" s="170" t="s">
        <v>363</v>
      </c>
      <c r="C199" s="176" t="s">
        <v>31</v>
      </c>
      <c r="D199" s="176">
        <v>1</v>
      </c>
      <c r="E199" s="174"/>
      <c r="F199" s="153"/>
      <c r="G199" s="174"/>
      <c r="H199" s="153"/>
      <c r="I199" s="153"/>
    </row>
    <row r="200" spans="1:11" ht="13.8">
      <c r="A200" s="171">
        <v>67</v>
      </c>
      <c r="B200" s="170" t="s">
        <v>364</v>
      </c>
      <c r="C200" s="171" t="s">
        <v>311</v>
      </c>
      <c r="D200" s="176">
        <v>5.6</v>
      </c>
      <c r="E200" s="174"/>
      <c r="F200" s="153"/>
      <c r="G200" s="174"/>
      <c r="H200" s="153"/>
      <c r="I200" s="153"/>
    </row>
    <row r="201" spans="1:11" ht="13.8">
      <c r="A201" s="82"/>
      <c r="B201" s="83" t="s">
        <v>103</v>
      </c>
      <c r="C201" s="82"/>
      <c r="D201" s="84"/>
      <c r="E201" s="85"/>
      <c r="F201" s="31">
        <f>SUM(F6:F200)</f>
        <v>0</v>
      </c>
      <c r="G201" s="86"/>
      <c r="H201" s="31">
        <f>SUM(H6:H200)</f>
        <v>0</v>
      </c>
      <c r="I201" s="31">
        <f>SUM(I6:I200)</f>
        <v>0</v>
      </c>
    </row>
    <row r="202" spans="1:11" ht="14.4">
      <c r="A202" s="82"/>
      <c r="B202" s="89" t="s">
        <v>104</v>
      </c>
      <c r="C202" s="90">
        <v>0</v>
      </c>
      <c r="D202" s="91"/>
      <c r="E202" s="92"/>
      <c r="F202" s="87"/>
      <c r="G202" s="86"/>
      <c r="H202" s="86"/>
      <c r="I202" s="87">
        <f>F201*C202</f>
        <v>0</v>
      </c>
    </row>
    <row r="203" spans="1:11" ht="13.8">
      <c r="A203" s="89"/>
      <c r="B203" s="89" t="s">
        <v>103</v>
      </c>
      <c r="C203" s="89"/>
      <c r="D203" s="95"/>
      <c r="E203" s="96"/>
      <c r="F203" s="97"/>
      <c r="G203" s="97"/>
      <c r="H203" s="97"/>
      <c r="I203" s="97">
        <f>I201+I202</f>
        <v>0</v>
      </c>
    </row>
    <row r="204" spans="1:11" ht="13.8">
      <c r="A204" s="89"/>
      <c r="B204" s="100" t="s">
        <v>105</v>
      </c>
      <c r="C204" s="101">
        <v>0</v>
      </c>
      <c r="D204" s="102"/>
      <c r="E204" s="103"/>
      <c r="F204" s="104"/>
      <c r="G204" s="104"/>
      <c r="H204" s="104"/>
      <c r="I204" s="104">
        <f>I203*C204</f>
        <v>0</v>
      </c>
    </row>
    <row r="205" spans="1:11" ht="13.8">
      <c r="A205" s="100"/>
      <c r="B205" s="100" t="s">
        <v>103</v>
      </c>
      <c r="C205" s="100"/>
      <c r="D205" s="102"/>
      <c r="E205" s="103"/>
      <c r="F205" s="104"/>
      <c r="G205" s="104"/>
      <c r="H205" s="104"/>
      <c r="I205" s="104">
        <f>I203+I204</f>
        <v>0</v>
      </c>
    </row>
    <row r="206" spans="1:11" ht="13.8">
      <c r="A206" s="100"/>
      <c r="B206" s="100" t="s">
        <v>106</v>
      </c>
      <c r="C206" s="107">
        <v>0</v>
      </c>
      <c r="D206" s="102"/>
      <c r="E206" s="103"/>
      <c r="F206" s="104"/>
      <c r="G206" s="104"/>
      <c r="H206" s="104"/>
      <c r="I206" s="104">
        <f>I205*C206</f>
        <v>0</v>
      </c>
    </row>
    <row r="207" spans="1:11" ht="13.8">
      <c r="A207" s="100"/>
      <c r="B207" s="100" t="s">
        <v>103</v>
      </c>
      <c r="C207" s="100"/>
      <c r="D207" s="102"/>
      <c r="E207" s="103"/>
      <c r="F207" s="104"/>
      <c r="G207" s="104"/>
      <c r="H207" s="104"/>
      <c r="I207" s="104">
        <f>I205+I206</f>
        <v>0</v>
      </c>
    </row>
    <row r="208" spans="1:11" ht="13.8">
      <c r="A208" s="100"/>
      <c r="B208" s="100" t="s">
        <v>107</v>
      </c>
      <c r="C208" s="107">
        <v>0</v>
      </c>
      <c r="D208" s="102"/>
      <c r="E208" s="103"/>
      <c r="F208" s="104"/>
      <c r="G208" s="104"/>
      <c r="H208" s="104"/>
      <c r="I208" s="104">
        <f>I207*C208</f>
        <v>0</v>
      </c>
      <c r="K208" s="177"/>
    </row>
    <row r="209" spans="1:11" ht="13.8">
      <c r="A209" s="100"/>
      <c r="B209" s="100" t="s">
        <v>103</v>
      </c>
      <c r="C209" s="100"/>
      <c r="D209" s="102"/>
      <c r="E209" s="103"/>
      <c r="F209" s="104"/>
      <c r="G209" s="104"/>
      <c r="H209" s="104"/>
      <c r="I209" s="104">
        <f>I207+I208</f>
        <v>0</v>
      </c>
      <c r="K209" s="177"/>
    </row>
    <row r="210" spans="1:11" ht="14.4">
      <c r="A210" s="27"/>
      <c r="B210" s="108" t="s">
        <v>108</v>
      </c>
      <c r="C210" s="109">
        <v>0.18</v>
      </c>
      <c r="D210" s="110"/>
      <c r="E210" s="111"/>
      <c r="F210" s="112"/>
      <c r="G210" s="112"/>
      <c r="H210" s="112"/>
      <c r="I210" s="112">
        <f>I209*C210</f>
        <v>0</v>
      </c>
    </row>
    <row r="211" spans="1:11" ht="14.4">
      <c r="A211" s="27"/>
      <c r="B211" s="108" t="s">
        <v>103</v>
      </c>
      <c r="C211" s="115"/>
      <c r="D211" s="110"/>
      <c r="E211" s="111"/>
      <c r="F211" s="112"/>
      <c r="G211" s="112"/>
      <c r="H211" s="112"/>
      <c r="I211" s="112">
        <f>I209+I210</f>
        <v>0</v>
      </c>
    </row>
  </sheetData>
  <mergeCells count="9">
    <mergeCell ref="I1:I4"/>
    <mergeCell ref="D3:D4"/>
    <mergeCell ref="F3:F4"/>
    <mergeCell ref="H3:H4"/>
    <mergeCell ref="A1:A4"/>
    <mergeCell ref="C1:C4"/>
    <mergeCell ref="D1:D2"/>
    <mergeCell ref="E1:F2"/>
    <mergeCell ref="G1:H2"/>
  </mergeCells>
  <conditionalFormatting sqref="D203">
    <cfRule type="cellIs" dxfId="3" priority="1" stopIfTrue="1" operator="equal">
      <formula>8223.307275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opLeftCell="A40" zoomScale="92" zoomScaleNormal="92" workbookViewId="0">
      <selection activeCell="E5" sqref="E5:I59"/>
    </sheetView>
  </sheetViews>
  <sheetFormatPr defaultColWidth="8.77734375" defaultRowHeight="14.4"/>
  <cols>
    <col min="2" max="2" width="59.77734375" customWidth="1"/>
    <col min="5" max="5" width="12.77734375" customWidth="1"/>
    <col min="6" max="6" width="13.77734375" customWidth="1"/>
    <col min="7" max="8" width="12" customWidth="1"/>
    <col min="9" max="9" width="14" customWidth="1"/>
  </cols>
  <sheetData>
    <row r="1" spans="1:9" ht="14.55" customHeight="1">
      <c r="A1" s="287" t="s">
        <v>3</v>
      </c>
      <c r="B1" s="141"/>
      <c r="C1" s="287" t="s">
        <v>165</v>
      </c>
      <c r="D1" s="288"/>
      <c r="E1" s="287" t="s">
        <v>166</v>
      </c>
      <c r="F1" s="287"/>
      <c r="G1" s="287" t="s">
        <v>167</v>
      </c>
      <c r="H1" s="287"/>
      <c r="I1" s="287" t="s">
        <v>103</v>
      </c>
    </row>
    <row r="2" spans="1:9">
      <c r="A2" s="287"/>
      <c r="B2" s="143" t="s">
        <v>158</v>
      </c>
      <c r="C2" s="287"/>
      <c r="D2" s="288"/>
      <c r="E2" s="287"/>
      <c r="F2" s="287"/>
      <c r="G2" s="287"/>
      <c r="H2" s="287"/>
      <c r="I2" s="287"/>
    </row>
    <row r="3" spans="1:9">
      <c r="A3" s="287"/>
      <c r="B3" s="143"/>
      <c r="C3" s="287"/>
      <c r="D3" s="287" t="s">
        <v>168</v>
      </c>
      <c r="E3" s="144" t="s">
        <v>169</v>
      </c>
      <c r="F3" s="287" t="s">
        <v>170</v>
      </c>
      <c r="G3" s="144" t="s">
        <v>169</v>
      </c>
      <c r="H3" s="287" t="s">
        <v>170</v>
      </c>
      <c r="I3" s="287"/>
    </row>
    <row r="4" spans="1:9">
      <c r="A4" s="287"/>
      <c r="B4" s="145"/>
      <c r="C4" s="287"/>
      <c r="D4" s="287"/>
      <c r="E4" s="146" t="s">
        <v>171</v>
      </c>
      <c r="F4" s="287"/>
      <c r="G4" s="146" t="s">
        <v>171</v>
      </c>
      <c r="H4" s="287"/>
      <c r="I4" s="287"/>
    </row>
    <row r="5" spans="1:9" ht="86.4">
      <c r="A5" s="181">
        <v>1</v>
      </c>
      <c r="B5" s="182" t="s">
        <v>365</v>
      </c>
      <c r="C5" s="181" t="s">
        <v>187</v>
      </c>
      <c r="D5" s="183">
        <v>1</v>
      </c>
      <c r="E5" s="184"/>
      <c r="F5" s="184"/>
      <c r="G5" s="184"/>
      <c r="H5" s="184"/>
      <c r="I5" s="184"/>
    </row>
    <row r="6" spans="1:9" ht="28.8">
      <c r="A6" s="181">
        <v>2</v>
      </c>
      <c r="B6" s="182" t="s">
        <v>366</v>
      </c>
      <c r="C6" s="181" t="s">
        <v>187</v>
      </c>
      <c r="D6" s="183">
        <v>1</v>
      </c>
      <c r="E6" s="184"/>
      <c r="F6" s="184"/>
      <c r="G6" s="184"/>
      <c r="H6" s="184"/>
      <c r="I6" s="184"/>
    </row>
    <row r="7" spans="1:9">
      <c r="A7" s="181">
        <v>3</v>
      </c>
      <c r="B7" s="185" t="s">
        <v>367</v>
      </c>
      <c r="C7" s="181" t="s">
        <v>187</v>
      </c>
      <c r="D7" s="183">
        <v>1</v>
      </c>
      <c r="E7" s="184"/>
      <c r="F7" s="184"/>
      <c r="G7" s="184"/>
      <c r="H7" s="184"/>
      <c r="I7" s="184"/>
    </row>
    <row r="8" spans="1:9">
      <c r="A8" s="181">
        <v>4</v>
      </c>
      <c r="B8" s="185" t="s">
        <v>368</v>
      </c>
      <c r="C8" s="181" t="s">
        <v>31</v>
      </c>
      <c r="D8" s="183">
        <v>2</v>
      </c>
      <c r="E8" s="184"/>
      <c r="F8" s="184"/>
      <c r="G8" s="184"/>
      <c r="H8" s="184"/>
      <c r="I8" s="184"/>
    </row>
    <row r="9" spans="1:9">
      <c r="A9" s="181">
        <v>5</v>
      </c>
      <c r="B9" s="185" t="s">
        <v>369</v>
      </c>
      <c r="C9" s="181" t="s">
        <v>31</v>
      </c>
      <c r="D9" s="183">
        <v>3</v>
      </c>
      <c r="E9" s="184"/>
      <c r="F9" s="184"/>
      <c r="G9" s="184"/>
      <c r="H9" s="184"/>
      <c r="I9" s="184"/>
    </row>
    <row r="10" spans="1:9">
      <c r="A10" s="181">
        <v>6</v>
      </c>
      <c r="B10" s="185" t="s">
        <v>370</v>
      </c>
      <c r="C10" s="181" t="s">
        <v>31</v>
      </c>
      <c r="D10" s="183">
        <v>1</v>
      </c>
      <c r="E10" s="184"/>
      <c r="F10" s="184"/>
      <c r="G10" s="184"/>
      <c r="H10" s="184"/>
      <c r="I10" s="184"/>
    </row>
    <row r="11" spans="1:9">
      <c r="A11" s="181">
        <v>7</v>
      </c>
      <c r="B11" s="185" t="s">
        <v>371</v>
      </c>
      <c r="C11" s="181" t="s">
        <v>31</v>
      </c>
      <c r="D11" s="183">
        <v>1</v>
      </c>
      <c r="E11" s="184"/>
      <c r="F11" s="184"/>
      <c r="G11" s="184"/>
      <c r="H11" s="184"/>
      <c r="I11" s="184"/>
    </row>
    <row r="12" spans="1:9">
      <c r="A12" s="181">
        <v>8</v>
      </c>
      <c r="B12" s="185" t="s">
        <v>372</v>
      </c>
      <c r="C12" s="181" t="s">
        <v>31</v>
      </c>
      <c r="D12" s="183">
        <v>1</v>
      </c>
      <c r="E12" s="184"/>
      <c r="F12" s="184"/>
      <c r="G12" s="184"/>
      <c r="H12" s="184"/>
      <c r="I12" s="184"/>
    </row>
    <row r="13" spans="1:9">
      <c r="A13" s="181">
        <v>9</v>
      </c>
      <c r="B13" s="185" t="s">
        <v>373</v>
      </c>
      <c r="C13" s="181" t="s">
        <v>31</v>
      </c>
      <c r="D13" s="183">
        <v>1</v>
      </c>
      <c r="E13" s="184"/>
      <c r="F13" s="184"/>
      <c r="G13" s="184"/>
      <c r="H13" s="184"/>
      <c r="I13" s="184"/>
    </row>
    <row r="14" spans="1:9">
      <c r="A14" s="181">
        <v>10</v>
      </c>
      <c r="B14" s="185" t="s">
        <v>374</v>
      </c>
      <c r="C14" s="181" t="s">
        <v>31</v>
      </c>
      <c r="D14" s="183">
        <v>2</v>
      </c>
      <c r="E14" s="184"/>
      <c r="F14" s="184"/>
      <c r="G14" s="184"/>
      <c r="H14" s="184"/>
      <c r="I14" s="184"/>
    </row>
    <row r="15" spans="1:9">
      <c r="A15" s="181">
        <v>11</v>
      </c>
      <c r="B15" s="185" t="s">
        <v>375</v>
      </c>
      <c r="C15" s="181" t="s">
        <v>31</v>
      </c>
      <c r="D15" s="183">
        <v>1</v>
      </c>
      <c r="E15" s="184"/>
      <c r="F15" s="184"/>
      <c r="G15" s="184"/>
      <c r="H15" s="184"/>
      <c r="I15" s="184"/>
    </row>
    <row r="16" spans="1:9">
      <c r="A16" s="181">
        <v>12</v>
      </c>
      <c r="B16" s="185" t="s">
        <v>376</v>
      </c>
      <c r="C16" s="181" t="s">
        <v>31</v>
      </c>
      <c r="D16" s="183">
        <v>2</v>
      </c>
      <c r="E16" s="184"/>
      <c r="F16" s="184"/>
      <c r="G16" s="184"/>
      <c r="H16" s="184"/>
      <c r="I16" s="184"/>
    </row>
    <row r="17" spans="1:9">
      <c r="A17" s="181">
        <v>13</v>
      </c>
      <c r="B17" s="185" t="s">
        <v>377</v>
      </c>
      <c r="C17" s="181" t="s">
        <v>31</v>
      </c>
      <c r="D17" s="183">
        <v>2</v>
      </c>
      <c r="E17" s="184"/>
      <c r="F17" s="184"/>
      <c r="G17" s="184"/>
      <c r="H17" s="184"/>
      <c r="I17" s="184"/>
    </row>
    <row r="18" spans="1:9">
      <c r="A18" s="181">
        <v>14</v>
      </c>
      <c r="B18" s="185" t="s">
        <v>378</v>
      </c>
      <c r="C18" s="181" t="s">
        <v>31</v>
      </c>
      <c r="D18" s="183">
        <v>1</v>
      </c>
      <c r="E18" s="184"/>
      <c r="F18" s="184"/>
      <c r="G18" s="184"/>
      <c r="H18" s="184"/>
      <c r="I18" s="184"/>
    </row>
    <row r="19" spans="1:9">
      <c r="A19" s="181">
        <v>15</v>
      </c>
      <c r="B19" s="185" t="s">
        <v>379</v>
      </c>
      <c r="C19" s="181" t="s">
        <v>65</v>
      </c>
      <c r="D19" s="183">
        <v>6</v>
      </c>
      <c r="E19" s="184"/>
      <c r="F19" s="184"/>
      <c r="G19" s="184"/>
      <c r="H19" s="184"/>
      <c r="I19" s="184"/>
    </row>
    <row r="20" spans="1:9">
      <c r="A20" s="181">
        <v>16</v>
      </c>
      <c r="B20" s="185" t="s">
        <v>380</v>
      </c>
      <c r="C20" s="181" t="s">
        <v>65</v>
      </c>
      <c r="D20" s="183">
        <v>15</v>
      </c>
      <c r="E20" s="184"/>
      <c r="F20" s="184"/>
      <c r="G20" s="184"/>
      <c r="H20" s="184"/>
      <c r="I20" s="184"/>
    </row>
    <row r="21" spans="1:9">
      <c r="A21" s="181">
        <v>17</v>
      </c>
      <c r="B21" s="185" t="s">
        <v>381</v>
      </c>
      <c r="C21" s="181" t="s">
        <v>65</v>
      </c>
      <c r="D21" s="183">
        <v>12</v>
      </c>
      <c r="E21" s="184"/>
      <c r="F21" s="184"/>
      <c r="G21" s="184"/>
      <c r="H21" s="184"/>
      <c r="I21" s="184"/>
    </row>
    <row r="22" spans="1:9">
      <c r="A22" s="181">
        <v>18</v>
      </c>
      <c r="B22" s="185" t="s">
        <v>382</v>
      </c>
      <c r="C22" s="181" t="s">
        <v>65</v>
      </c>
      <c r="D22" s="183">
        <v>8</v>
      </c>
      <c r="E22" s="184"/>
      <c r="F22" s="184"/>
      <c r="G22" s="184"/>
      <c r="H22" s="184"/>
      <c r="I22" s="184"/>
    </row>
    <row r="23" spans="1:9">
      <c r="A23" s="181">
        <v>19</v>
      </c>
      <c r="B23" s="185" t="s">
        <v>383</v>
      </c>
      <c r="C23" s="181" t="s">
        <v>65</v>
      </c>
      <c r="D23" s="183">
        <v>2</v>
      </c>
      <c r="E23" s="184"/>
      <c r="F23" s="184"/>
      <c r="G23" s="184"/>
      <c r="H23" s="184"/>
      <c r="I23" s="184"/>
    </row>
    <row r="24" spans="1:9" ht="28.8">
      <c r="A24" s="181">
        <v>20</v>
      </c>
      <c r="B24" s="185" t="s">
        <v>384</v>
      </c>
      <c r="C24" s="181" t="s">
        <v>187</v>
      </c>
      <c r="D24" s="183">
        <v>1</v>
      </c>
      <c r="E24" s="184"/>
      <c r="F24" s="184"/>
      <c r="G24" s="184"/>
      <c r="H24" s="184"/>
      <c r="I24" s="184"/>
    </row>
    <row r="25" spans="1:9">
      <c r="A25" s="181">
        <v>21</v>
      </c>
      <c r="B25" s="185" t="s">
        <v>385</v>
      </c>
      <c r="C25" s="181" t="s">
        <v>31</v>
      </c>
      <c r="D25" s="183">
        <v>2</v>
      </c>
      <c r="E25" s="184"/>
      <c r="F25" s="184"/>
      <c r="G25" s="184"/>
      <c r="H25" s="184"/>
      <c r="I25" s="184"/>
    </row>
    <row r="26" spans="1:9">
      <c r="A26" s="181">
        <v>22</v>
      </c>
      <c r="B26" s="185" t="s">
        <v>386</v>
      </c>
      <c r="C26" s="181" t="s">
        <v>31</v>
      </c>
      <c r="D26" s="183">
        <v>1</v>
      </c>
      <c r="E26" s="184"/>
      <c r="F26" s="184"/>
      <c r="G26" s="184"/>
      <c r="H26" s="184"/>
      <c r="I26" s="184"/>
    </row>
    <row r="27" spans="1:9">
      <c r="A27" s="181">
        <v>23</v>
      </c>
      <c r="B27" s="185" t="s">
        <v>387</v>
      </c>
      <c r="C27" s="181" t="s">
        <v>31</v>
      </c>
      <c r="D27" s="183">
        <v>3</v>
      </c>
      <c r="E27" s="184"/>
      <c r="F27" s="184"/>
      <c r="G27" s="184"/>
      <c r="H27" s="184"/>
      <c r="I27" s="184"/>
    </row>
    <row r="28" spans="1:9">
      <c r="A28" s="181">
        <v>24</v>
      </c>
      <c r="B28" s="185" t="s">
        <v>388</v>
      </c>
      <c r="C28" s="181" t="s">
        <v>31</v>
      </c>
      <c r="D28" s="183">
        <v>4</v>
      </c>
      <c r="E28" s="184"/>
      <c r="F28" s="184"/>
      <c r="G28" s="184"/>
      <c r="H28" s="184"/>
      <c r="I28" s="184"/>
    </row>
    <row r="29" spans="1:9">
      <c r="A29" s="181">
        <v>25</v>
      </c>
      <c r="B29" s="185" t="s">
        <v>389</v>
      </c>
      <c r="C29" s="181" t="s">
        <v>31</v>
      </c>
      <c r="D29" s="183">
        <v>4</v>
      </c>
      <c r="E29" s="184"/>
      <c r="F29" s="184"/>
      <c r="G29" s="184"/>
      <c r="H29" s="184"/>
      <c r="I29" s="184"/>
    </row>
    <row r="30" spans="1:9">
      <c r="A30" s="181">
        <v>26</v>
      </c>
      <c r="B30" s="185" t="s">
        <v>390</v>
      </c>
      <c r="C30" s="181" t="s">
        <v>31</v>
      </c>
      <c r="D30" s="183">
        <v>3</v>
      </c>
      <c r="E30" s="184"/>
      <c r="F30" s="184"/>
      <c r="G30" s="184"/>
      <c r="H30" s="184"/>
      <c r="I30" s="184"/>
    </row>
    <row r="31" spans="1:9">
      <c r="A31" s="181">
        <v>27</v>
      </c>
      <c r="B31" s="185" t="s">
        <v>391</v>
      </c>
      <c r="C31" s="181" t="s">
        <v>31</v>
      </c>
      <c r="D31" s="183">
        <v>2</v>
      </c>
      <c r="E31" s="184"/>
      <c r="F31" s="184"/>
      <c r="G31" s="184"/>
      <c r="H31" s="184"/>
      <c r="I31" s="184"/>
    </row>
    <row r="32" spans="1:9">
      <c r="A32" s="181">
        <v>28</v>
      </c>
      <c r="B32" s="185" t="s">
        <v>392</v>
      </c>
      <c r="C32" s="181" t="s">
        <v>31</v>
      </c>
      <c r="D32" s="183">
        <v>22</v>
      </c>
      <c r="E32" s="184"/>
      <c r="F32" s="184"/>
      <c r="G32" s="184"/>
      <c r="H32" s="184"/>
      <c r="I32" s="184"/>
    </row>
    <row r="33" spans="1:9">
      <c r="A33" s="181">
        <v>29</v>
      </c>
      <c r="B33" s="185" t="s">
        <v>393</v>
      </c>
      <c r="C33" s="181" t="s">
        <v>31</v>
      </c>
      <c r="D33" s="183">
        <v>4</v>
      </c>
      <c r="E33" s="184"/>
      <c r="F33" s="184"/>
      <c r="G33" s="184"/>
      <c r="H33" s="184"/>
      <c r="I33" s="184"/>
    </row>
    <row r="34" spans="1:9">
      <c r="A34" s="181">
        <v>30</v>
      </c>
      <c r="B34" s="185" t="s">
        <v>394</v>
      </c>
      <c r="C34" s="181" t="s">
        <v>31</v>
      </c>
      <c r="D34" s="183">
        <v>2</v>
      </c>
      <c r="E34" s="184"/>
      <c r="F34" s="184"/>
      <c r="G34" s="184"/>
      <c r="H34" s="184"/>
      <c r="I34" s="184"/>
    </row>
    <row r="35" spans="1:9">
      <c r="A35" s="181">
        <v>31</v>
      </c>
      <c r="B35" s="185" t="s">
        <v>395</v>
      </c>
      <c r="C35" s="181" t="s">
        <v>31</v>
      </c>
      <c r="D35" s="183">
        <v>1</v>
      </c>
      <c r="E35" s="184"/>
      <c r="F35" s="184"/>
      <c r="G35" s="184"/>
      <c r="H35" s="184"/>
      <c r="I35" s="184"/>
    </row>
    <row r="36" spans="1:9">
      <c r="A36" s="181">
        <v>32</v>
      </c>
      <c r="B36" s="185" t="s">
        <v>342</v>
      </c>
      <c r="C36" s="181" t="s">
        <v>31</v>
      </c>
      <c r="D36" s="183">
        <v>3</v>
      </c>
      <c r="E36" s="184"/>
      <c r="F36" s="184"/>
      <c r="G36" s="184"/>
      <c r="H36" s="184"/>
      <c r="I36" s="184"/>
    </row>
    <row r="37" spans="1:9" ht="28.8">
      <c r="A37" s="181">
        <v>33</v>
      </c>
      <c r="B37" s="185" t="s">
        <v>396</v>
      </c>
      <c r="C37" s="181" t="s">
        <v>31</v>
      </c>
      <c r="D37" s="183">
        <v>2</v>
      </c>
      <c r="E37" s="184"/>
      <c r="F37" s="184"/>
      <c r="G37" s="184"/>
      <c r="H37" s="184"/>
      <c r="I37" s="184"/>
    </row>
    <row r="38" spans="1:9">
      <c r="A38" s="181">
        <v>34</v>
      </c>
      <c r="B38" s="185" t="s">
        <v>397</v>
      </c>
      <c r="C38" s="181" t="s">
        <v>31</v>
      </c>
      <c r="D38" s="183">
        <v>5</v>
      </c>
      <c r="E38" s="184"/>
      <c r="F38" s="184"/>
      <c r="G38" s="184"/>
      <c r="H38" s="184"/>
      <c r="I38" s="184"/>
    </row>
    <row r="39" spans="1:9">
      <c r="A39" s="181">
        <v>35</v>
      </c>
      <c r="B39" s="185" t="s">
        <v>398</v>
      </c>
      <c r="C39" s="181" t="s">
        <v>31</v>
      </c>
      <c r="D39" s="183">
        <v>1</v>
      </c>
      <c r="E39" s="184"/>
      <c r="F39" s="184"/>
      <c r="G39" s="184"/>
      <c r="H39" s="184"/>
      <c r="I39" s="184"/>
    </row>
    <row r="40" spans="1:9">
      <c r="A40" s="181">
        <v>38</v>
      </c>
      <c r="B40" s="185" t="s">
        <v>399</v>
      </c>
      <c r="C40" s="181" t="s">
        <v>31</v>
      </c>
      <c r="D40" s="183">
        <v>10</v>
      </c>
      <c r="E40" s="184"/>
      <c r="F40" s="184"/>
      <c r="G40" s="184"/>
      <c r="H40" s="184"/>
      <c r="I40" s="184"/>
    </row>
    <row r="41" spans="1:9">
      <c r="A41" s="181">
        <v>39</v>
      </c>
      <c r="B41" s="185" t="s">
        <v>381</v>
      </c>
      <c r="C41" s="181" t="s">
        <v>65</v>
      </c>
      <c r="D41" s="183">
        <v>100</v>
      </c>
      <c r="E41" s="184"/>
      <c r="F41" s="184"/>
      <c r="G41" s="184"/>
      <c r="H41" s="184"/>
      <c r="I41" s="184"/>
    </row>
    <row r="42" spans="1:9">
      <c r="A42" s="181">
        <v>40</v>
      </c>
      <c r="B42" s="185" t="s">
        <v>382</v>
      </c>
      <c r="C42" s="181" t="s">
        <v>65</v>
      </c>
      <c r="D42" s="183">
        <v>90</v>
      </c>
      <c r="E42" s="184"/>
      <c r="F42" s="184"/>
      <c r="G42" s="184"/>
      <c r="H42" s="184"/>
      <c r="I42" s="184"/>
    </row>
    <row r="43" spans="1:9">
      <c r="A43" s="181">
        <v>41</v>
      </c>
      <c r="B43" s="185" t="s">
        <v>383</v>
      </c>
      <c r="C43" s="181" t="s">
        <v>65</v>
      </c>
      <c r="D43" s="183">
        <v>5</v>
      </c>
      <c r="E43" s="184"/>
      <c r="F43" s="184"/>
      <c r="G43" s="184"/>
      <c r="H43" s="184"/>
      <c r="I43" s="184"/>
    </row>
    <row r="44" spans="1:9">
      <c r="A44" s="181">
        <v>42</v>
      </c>
      <c r="B44" s="185" t="s">
        <v>400</v>
      </c>
      <c r="C44" s="181" t="s">
        <v>65</v>
      </c>
      <c r="D44" s="183">
        <v>45</v>
      </c>
      <c r="E44" s="184"/>
      <c r="F44" s="184"/>
      <c r="G44" s="184"/>
      <c r="H44" s="184"/>
      <c r="I44" s="184"/>
    </row>
    <row r="45" spans="1:9">
      <c r="A45" s="181">
        <v>43</v>
      </c>
      <c r="B45" s="185" t="s">
        <v>401</v>
      </c>
      <c r="C45" s="181" t="s">
        <v>65</v>
      </c>
      <c r="D45" s="183">
        <v>150</v>
      </c>
      <c r="E45" s="184"/>
      <c r="F45" s="184"/>
      <c r="G45" s="184"/>
      <c r="H45" s="184"/>
      <c r="I45" s="184"/>
    </row>
    <row r="46" spans="1:9">
      <c r="A46" s="181">
        <v>44</v>
      </c>
      <c r="B46" s="185" t="s">
        <v>402</v>
      </c>
      <c r="C46" s="181" t="s">
        <v>31</v>
      </c>
      <c r="D46" s="183">
        <v>2</v>
      </c>
      <c r="E46" s="184"/>
      <c r="F46" s="184"/>
      <c r="G46" s="184"/>
      <c r="H46" s="184"/>
      <c r="I46" s="184"/>
    </row>
    <row r="47" spans="1:9">
      <c r="A47" s="181">
        <v>45</v>
      </c>
      <c r="B47" s="185" t="s">
        <v>403</v>
      </c>
      <c r="C47" s="181" t="s">
        <v>31</v>
      </c>
      <c r="D47" s="183">
        <v>6</v>
      </c>
      <c r="E47" s="184"/>
      <c r="F47" s="184"/>
      <c r="G47" s="184"/>
      <c r="H47" s="184"/>
      <c r="I47" s="184"/>
    </row>
    <row r="48" spans="1:9" ht="28.8">
      <c r="A48" s="181">
        <v>46</v>
      </c>
      <c r="B48" s="185" t="s">
        <v>404</v>
      </c>
      <c r="C48" s="181" t="s">
        <v>31</v>
      </c>
      <c r="D48" s="183">
        <v>5</v>
      </c>
      <c r="E48" s="184"/>
      <c r="F48" s="184"/>
      <c r="G48" s="184"/>
      <c r="H48" s="184"/>
      <c r="I48" s="184"/>
    </row>
    <row r="49" spans="1:9" ht="28.8">
      <c r="A49" s="181">
        <v>47</v>
      </c>
      <c r="B49" s="185" t="s">
        <v>575</v>
      </c>
      <c r="C49" s="181" t="s">
        <v>31</v>
      </c>
      <c r="D49" s="183">
        <v>5</v>
      </c>
      <c r="E49" s="184"/>
      <c r="F49" s="184"/>
      <c r="G49" s="184"/>
      <c r="H49" s="184"/>
      <c r="I49" s="184"/>
    </row>
    <row r="50" spans="1:9" ht="28.8">
      <c r="A50" s="181">
        <v>48</v>
      </c>
      <c r="B50" s="185" t="s">
        <v>405</v>
      </c>
      <c r="C50" s="181" t="s">
        <v>31</v>
      </c>
      <c r="D50" s="183">
        <v>5</v>
      </c>
      <c r="E50" s="184"/>
      <c r="F50" s="184"/>
      <c r="G50" s="184"/>
      <c r="H50" s="184"/>
      <c r="I50" s="184"/>
    </row>
    <row r="51" spans="1:9">
      <c r="A51" s="181">
        <v>49</v>
      </c>
      <c r="B51" s="185" t="s">
        <v>406</v>
      </c>
      <c r="C51" s="181" t="s">
        <v>31</v>
      </c>
      <c r="D51" s="183">
        <v>5</v>
      </c>
      <c r="E51" s="184"/>
      <c r="F51" s="184"/>
      <c r="G51" s="184"/>
      <c r="H51" s="184"/>
      <c r="I51" s="184"/>
    </row>
    <row r="52" spans="1:9">
      <c r="A52" s="181">
        <v>50</v>
      </c>
      <c r="B52" s="185" t="s">
        <v>574</v>
      </c>
      <c r="C52" s="186"/>
      <c r="D52" s="183">
        <v>1</v>
      </c>
      <c r="E52" s="184"/>
      <c r="F52" s="184"/>
      <c r="G52" s="184"/>
      <c r="H52" s="184"/>
      <c r="I52" s="184"/>
    </row>
    <row r="53" spans="1:9">
      <c r="A53" s="181"/>
      <c r="B53" s="185" t="s">
        <v>407</v>
      </c>
      <c r="C53" s="139"/>
      <c r="D53" s="139"/>
      <c r="E53" s="184"/>
      <c r="F53" s="184"/>
      <c r="G53" s="184"/>
      <c r="H53" s="184"/>
      <c r="I53" s="184"/>
    </row>
    <row r="54" spans="1:9">
      <c r="A54" s="181"/>
      <c r="B54" s="185" t="s">
        <v>408</v>
      </c>
      <c r="C54" s="139"/>
      <c r="D54" s="139"/>
      <c r="E54" s="184"/>
      <c r="F54" s="184"/>
      <c r="G54" s="184"/>
      <c r="H54" s="184"/>
      <c r="I54" s="184"/>
    </row>
    <row r="55" spans="1:9">
      <c r="A55" s="181"/>
      <c r="B55" s="185" t="s">
        <v>409</v>
      </c>
      <c r="C55" s="139"/>
      <c r="D55" s="139"/>
      <c r="E55" s="184"/>
      <c r="F55" s="184"/>
      <c r="G55" s="184"/>
      <c r="H55" s="184"/>
      <c r="I55" s="184"/>
    </row>
    <row r="56" spans="1:9" ht="28.8">
      <c r="A56" s="181"/>
      <c r="B56" s="185" t="s">
        <v>410</v>
      </c>
      <c r="C56" s="139"/>
      <c r="D56" s="139"/>
      <c r="E56" s="184"/>
      <c r="F56" s="184"/>
      <c r="G56" s="184"/>
      <c r="H56" s="184"/>
      <c r="I56" s="184"/>
    </row>
    <row r="57" spans="1:9" ht="28.8">
      <c r="A57" s="181"/>
      <c r="B57" s="185" t="s">
        <v>411</v>
      </c>
      <c r="C57" s="139"/>
      <c r="D57" s="139"/>
      <c r="E57" s="184"/>
      <c r="F57" s="184"/>
      <c r="G57" s="184"/>
      <c r="H57" s="184"/>
      <c r="I57" s="184"/>
    </row>
    <row r="58" spans="1:9">
      <c r="A58" s="181"/>
      <c r="B58" s="185" t="s">
        <v>412</v>
      </c>
      <c r="C58" s="139"/>
      <c r="D58" s="139"/>
      <c r="E58" s="184"/>
      <c r="F58" s="184"/>
      <c r="G58" s="184"/>
      <c r="H58" s="184"/>
      <c r="I58" s="184"/>
    </row>
    <row r="59" spans="1:9">
      <c r="A59" s="181"/>
      <c r="B59" s="185" t="s">
        <v>413</v>
      </c>
      <c r="C59" s="139"/>
      <c r="D59" s="139"/>
      <c r="E59" s="184"/>
      <c r="F59" s="184"/>
      <c r="G59" s="184"/>
      <c r="H59" s="184"/>
      <c r="I59" s="184"/>
    </row>
    <row r="60" spans="1:9">
      <c r="A60" s="181"/>
      <c r="B60" s="185" t="s">
        <v>414</v>
      </c>
      <c r="C60" s="139"/>
      <c r="D60" s="139"/>
      <c r="E60" s="184"/>
      <c r="F60" s="184">
        <f t="shared" ref="F60" si="0">E60*D60</f>
        <v>0</v>
      </c>
      <c r="G60" s="184"/>
      <c r="H60" s="184">
        <f t="shared" ref="H60" si="1">G60*D60</f>
        <v>0</v>
      </c>
      <c r="I60" s="184">
        <f t="shared" ref="I60" si="2">H60+F60</f>
        <v>0</v>
      </c>
    </row>
    <row r="61" spans="1:9">
      <c r="A61" s="82"/>
      <c r="B61" s="83" t="s">
        <v>103</v>
      </c>
      <c r="C61" s="82"/>
      <c r="D61" s="84"/>
      <c r="E61" s="85"/>
      <c r="F61" s="31">
        <f>SUM(F5:F60)</f>
        <v>0</v>
      </c>
      <c r="G61" s="86"/>
      <c r="H61" s="31">
        <f>SUM(H5:H60)</f>
        <v>0</v>
      </c>
      <c r="I61" s="31">
        <f>SUM(I5:I60)</f>
        <v>0</v>
      </c>
    </row>
    <row r="62" spans="1:9">
      <c r="A62" s="82"/>
      <c r="B62" s="89" t="s">
        <v>104</v>
      </c>
      <c r="C62" s="90">
        <v>0</v>
      </c>
      <c r="D62" s="91"/>
      <c r="E62" s="92"/>
      <c r="F62" s="87"/>
      <c r="G62" s="86"/>
      <c r="H62" s="86"/>
      <c r="I62" s="87">
        <f>F61*C62</f>
        <v>0</v>
      </c>
    </row>
    <row r="63" spans="1:9">
      <c r="A63" s="89"/>
      <c r="B63" s="89" t="s">
        <v>103</v>
      </c>
      <c r="C63" s="89"/>
      <c r="D63" s="95"/>
      <c r="E63" s="96"/>
      <c r="F63" s="97"/>
      <c r="G63" s="97"/>
      <c r="H63" s="97"/>
      <c r="I63" s="97">
        <f>I61+I62</f>
        <v>0</v>
      </c>
    </row>
    <row r="64" spans="1:9">
      <c r="A64" s="89"/>
      <c r="B64" s="100" t="s">
        <v>105</v>
      </c>
      <c r="C64" s="101">
        <v>0</v>
      </c>
      <c r="D64" s="102"/>
      <c r="E64" s="103"/>
      <c r="F64" s="104"/>
      <c r="G64" s="104"/>
      <c r="H64" s="104"/>
      <c r="I64" s="104">
        <f>I63*C64</f>
        <v>0</v>
      </c>
    </row>
    <row r="65" spans="1:9">
      <c r="A65" s="100"/>
      <c r="B65" s="100" t="s">
        <v>103</v>
      </c>
      <c r="C65" s="100"/>
      <c r="D65" s="102"/>
      <c r="E65" s="103"/>
      <c r="F65" s="104"/>
      <c r="G65" s="104"/>
      <c r="H65" s="104"/>
      <c r="I65" s="104">
        <f>I63+I64</f>
        <v>0</v>
      </c>
    </row>
    <row r="66" spans="1:9">
      <c r="A66" s="100"/>
      <c r="B66" s="100" t="s">
        <v>106</v>
      </c>
      <c r="C66" s="107">
        <v>0</v>
      </c>
      <c r="D66" s="102"/>
      <c r="E66" s="103"/>
      <c r="F66" s="104"/>
      <c r="G66" s="104"/>
      <c r="H66" s="104"/>
      <c r="I66" s="104">
        <f>I65*C66</f>
        <v>0</v>
      </c>
    </row>
    <row r="67" spans="1:9">
      <c r="A67" s="100"/>
      <c r="B67" s="100" t="s">
        <v>103</v>
      </c>
      <c r="C67" s="100"/>
      <c r="D67" s="102"/>
      <c r="E67" s="103"/>
      <c r="F67" s="104"/>
      <c r="G67" s="104"/>
      <c r="H67" s="104"/>
      <c r="I67" s="104">
        <f>I65+I66</f>
        <v>0</v>
      </c>
    </row>
    <row r="68" spans="1:9">
      <c r="A68" s="100"/>
      <c r="B68" s="100" t="s">
        <v>107</v>
      </c>
      <c r="C68" s="107">
        <v>0</v>
      </c>
      <c r="D68" s="102"/>
      <c r="E68" s="103"/>
      <c r="F68" s="104"/>
      <c r="G68" s="104"/>
      <c r="H68" s="104"/>
      <c r="I68" s="104">
        <f>I67*C68</f>
        <v>0</v>
      </c>
    </row>
    <row r="69" spans="1:9">
      <c r="A69" s="100"/>
      <c r="B69" s="100" t="s">
        <v>103</v>
      </c>
      <c r="C69" s="100"/>
      <c r="D69" s="102"/>
      <c r="E69" s="103"/>
      <c r="F69" s="104"/>
      <c r="G69" s="104"/>
      <c r="H69" s="104"/>
      <c r="I69" s="104">
        <f>I67+I68</f>
        <v>0</v>
      </c>
    </row>
    <row r="70" spans="1:9">
      <c r="A70" s="27"/>
      <c r="B70" s="108" t="s">
        <v>108</v>
      </c>
      <c r="C70" s="109">
        <v>0.18</v>
      </c>
      <c r="D70" s="110"/>
      <c r="E70" s="111"/>
      <c r="F70" s="112"/>
      <c r="G70" s="112"/>
      <c r="H70" s="112"/>
      <c r="I70" s="112">
        <f>I69*C70</f>
        <v>0</v>
      </c>
    </row>
    <row r="71" spans="1:9">
      <c r="A71" s="27"/>
      <c r="B71" s="108" t="s">
        <v>103</v>
      </c>
      <c r="C71" s="115"/>
      <c r="D71" s="110"/>
      <c r="E71" s="111"/>
      <c r="F71" s="112"/>
      <c r="G71" s="112"/>
      <c r="H71" s="112"/>
      <c r="I71" s="112">
        <f>I69+I70</f>
        <v>0</v>
      </c>
    </row>
    <row r="72" spans="1:9">
      <c r="B72" s="187"/>
    </row>
    <row r="73" spans="1:9">
      <c r="B73" s="187"/>
    </row>
    <row r="74" spans="1:9">
      <c r="B74" s="187"/>
    </row>
    <row r="75" spans="1:9">
      <c r="B75" s="187"/>
    </row>
    <row r="76" spans="1:9">
      <c r="B76" s="187"/>
    </row>
    <row r="77" spans="1:9">
      <c r="B77" s="187"/>
    </row>
    <row r="78" spans="1:9">
      <c r="B78" s="187"/>
    </row>
    <row r="79" spans="1:9">
      <c r="B79" s="187"/>
    </row>
    <row r="80" spans="1:9">
      <c r="B80" s="187"/>
    </row>
    <row r="81" spans="2:2">
      <c r="B81" s="187"/>
    </row>
    <row r="82" spans="2:2">
      <c r="B82" s="187"/>
    </row>
    <row r="83" spans="2:2">
      <c r="B83" s="187"/>
    </row>
    <row r="84" spans="2:2">
      <c r="B84" s="187"/>
    </row>
    <row r="85" spans="2:2">
      <c r="B85" s="187"/>
    </row>
    <row r="86" spans="2:2">
      <c r="B86" s="187"/>
    </row>
    <row r="87" spans="2:2">
      <c r="B87" s="187"/>
    </row>
    <row r="88" spans="2:2">
      <c r="B88" s="187"/>
    </row>
    <row r="89" spans="2:2">
      <c r="B89" s="187"/>
    </row>
    <row r="90" spans="2:2">
      <c r="B90" s="187"/>
    </row>
    <row r="91" spans="2:2">
      <c r="B91" s="187"/>
    </row>
    <row r="92" spans="2:2">
      <c r="B92" s="187"/>
    </row>
    <row r="93" spans="2:2">
      <c r="B93" s="187"/>
    </row>
    <row r="94" spans="2:2">
      <c r="B94" s="187"/>
    </row>
    <row r="95" spans="2:2">
      <c r="B95" s="187"/>
    </row>
    <row r="96" spans="2:2">
      <c r="B96" s="187"/>
    </row>
    <row r="97" spans="2:2">
      <c r="B97" s="187"/>
    </row>
    <row r="98" spans="2:2">
      <c r="B98" s="187"/>
    </row>
    <row r="99" spans="2:2">
      <c r="B99" s="187"/>
    </row>
    <row r="100" spans="2:2">
      <c r="B100" s="187"/>
    </row>
    <row r="101" spans="2:2">
      <c r="B101" s="187"/>
    </row>
    <row r="102" spans="2:2">
      <c r="B102" s="187"/>
    </row>
    <row r="103" spans="2:2">
      <c r="B103" s="187"/>
    </row>
    <row r="104" spans="2:2">
      <c r="B104" s="187"/>
    </row>
    <row r="105" spans="2:2">
      <c r="B105" s="187"/>
    </row>
    <row r="106" spans="2:2">
      <c r="B106" s="187"/>
    </row>
    <row r="107" spans="2:2">
      <c r="B107" s="187"/>
    </row>
    <row r="108" spans="2:2">
      <c r="B108" s="187"/>
    </row>
    <row r="109" spans="2:2">
      <c r="B109" s="187"/>
    </row>
    <row r="110" spans="2:2">
      <c r="B110" s="187"/>
    </row>
    <row r="111" spans="2:2">
      <c r="B111" s="187"/>
    </row>
    <row r="112" spans="2:2">
      <c r="B112" s="187"/>
    </row>
    <row r="113" spans="2:2">
      <c r="B113" s="187"/>
    </row>
    <row r="114" spans="2:2">
      <c r="B114" s="187"/>
    </row>
    <row r="115" spans="2:2">
      <c r="B115" s="187"/>
    </row>
    <row r="116" spans="2:2">
      <c r="B116" s="187"/>
    </row>
    <row r="117" spans="2:2">
      <c r="B117" s="187"/>
    </row>
    <row r="118" spans="2:2">
      <c r="B118" s="187"/>
    </row>
    <row r="119" spans="2:2">
      <c r="B119" s="187"/>
    </row>
    <row r="120" spans="2:2">
      <c r="B120" s="187"/>
    </row>
    <row r="121" spans="2:2">
      <c r="B121" s="187"/>
    </row>
    <row r="122" spans="2:2">
      <c r="B122" s="187"/>
    </row>
    <row r="123" spans="2:2">
      <c r="B123" s="187"/>
    </row>
    <row r="124" spans="2:2">
      <c r="B124" s="187"/>
    </row>
    <row r="125" spans="2:2">
      <c r="B125" s="187"/>
    </row>
    <row r="126" spans="2:2">
      <c r="B126" s="187"/>
    </row>
    <row r="127" spans="2:2">
      <c r="B127" s="187"/>
    </row>
    <row r="128" spans="2:2">
      <c r="B128" s="187"/>
    </row>
    <row r="129" spans="2:2">
      <c r="B129" s="187"/>
    </row>
    <row r="130" spans="2:2">
      <c r="B130" s="187"/>
    </row>
    <row r="131" spans="2:2">
      <c r="B131" s="187"/>
    </row>
    <row r="132" spans="2:2">
      <c r="B132" s="187"/>
    </row>
    <row r="133" spans="2:2">
      <c r="B133" s="187"/>
    </row>
    <row r="134" spans="2:2">
      <c r="B134" s="187"/>
    </row>
    <row r="135" spans="2:2">
      <c r="B135" s="187"/>
    </row>
    <row r="136" spans="2:2">
      <c r="B136" s="187"/>
    </row>
    <row r="137" spans="2:2">
      <c r="B137" s="187"/>
    </row>
    <row r="138" spans="2:2">
      <c r="B138" s="187"/>
    </row>
    <row r="139" spans="2:2">
      <c r="B139" s="187"/>
    </row>
    <row r="140" spans="2:2">
      <c r="B140" s="187"/>
    </row>
    <row r="141" spans="2:2">
      <c r="B141" s="187"/>
    </row>
    <row r="142" spans="2:2">
      <c r="B142" s="187"/>
    </row>
    <row r="143" spans="2:2">
      <c r="B143" s="187"/>
    </row>
    <row r="144" spans="2:2">
      <c r="B144" s="187"/>
    </row>
    <row r="145" spans="2:2">
      <c r="B145" s="187"/>
    </row>
    <row r="146" spans="2:2">
      <c r="B146" s="187"/>
    </row>
    <row r="147" spans="2:2">
      <c r="B147" s="187"/>
    </row>
    <row r="148" spans="2:2">
      <c r="B148" s="187"/>
    </row>
    <row r="149" spans="2:2">
      <c r="B149" s="187"/>
    </row>
    <row r="150" spans="2:2">
      <c r="B150" s="187"/>
    </row>
    <row r="151" spans="2:2">
      <c r="B151" s="187"/>
    </row>
    <row r="152" spans="2:2">
      <c r="B152" s="187"/>
    </row>
    <row r="153" spans="2:2">
      <c r="B153" s="187"/>
    </row>
    <row r="154" spans="2:2">
      <c r="B154" s="187"/>
    </row>
    <row r="155" spans="2:2">
      <c r="B155" s="187"/>
    </row>
    <row r="156" spans="2:2">
      <c r="B156" s="187"/>
    </row>
    <row r="157" spans="2:2">
      <c r="B157" s="187"/>
    </row>
    <row r="158" spans="2:2">
      <c r="B158" s="187"/>
    </row>
    <row r="159" spans="2:2">
      <c r="B159" s="187"/>
    </row>
    <row r="160" spans="2:2">
      <c r="B160" s="187"/>
    </row>
    <row r="161" spans="2:2">
      <c r="B161" s="187"/>
    </row>
    <row r="162" spans="2:2">
      <c r="B162" s="187"/>
    </row>
    <row r="163" spans="2:2">
      <c r="B163" s="187"/>
    </row>
    <row r="164" spans="2:2">
      <c r="B164" s="187"/>
    </row>
    <row r="165" spans="2:2">
      <c r="B165" s="187"/>
    </row>
    <row r="166" spans="2:2">
      <c r="B166" s="187"/>
    </row>
    <row r="167" spans="2:2">
      <c r="B167" s="187"/>
    </row>
    <row r="168" spans="2:2">
      <c r="B168" s="187"/>
    </row>
    <row r="169" spans="2:2">
      <c r="B169" s="187"/>
    </row>
    <row r="170" spans="2:2">
      <c r="B170" s="187"/>
    </row>
    <row r="171" spans="2:2">
      <c r="B171" s="187"/>
    </row>
    <row r="172" spans="2:2">
      <c r="B172" s="187"/>
    </row>
    <row r="173" spans="2:2">
      <c r="B173" s="187"/>
    </row>
    <row r="174" spans="2:2">
      <c r="B174" s="187"/>
    </row>
    <row r="175" spans="2:2">
      <c r="B175" s="187"/>
    </row>
    <row r="176" spans="2:2">
      <c r="B176" s="187"/>
    </row>
    <row r="177" spans="2:2">
      <c r="B177" s="187"/>
    </row>
    <row r="178" spans="2:2">
      <c r="B178" s="187"/>
    </row>
    <row r="179" spans="2:2">
      <c r="B179" s="187"/>
    </row>
    <row r="180" spans="2:2">
      <c r="B180" s="187"/>
    </row>
    <row r="181" spans="2:2">
      <c r="B181" s="187"/>
    </row>
    <row r="182" spans="2:2">
      <c r="B182" s="187"/>
    </row>
    <row r="183" spans="2:2">
      <c r="B183" s="187"/>
    </row>
    <row r="184" spans="2:2">
      <c r="B184" s="187"/>
    </row>
    <row r="185" spans="2:2">
      <c r="B185" s="187"/>
    </row>
    <row r="186" spans="2:2">
      <c r="B186" s="187"/>
    </row>
    <row r="187" spans="2:2">
      <c r="B187" s="187"/>
    </row>
    <row r="188" spans="2:2">
      <c r="B188" s="187"/>
    </row>
    <row r="189" spans="2:2">
      <c r="B189" s="187"/>
    </row>
    <row r="190" spans="2:2">
      <c r="B190" s="187"/>
    </row>
    <row r="191" spans="2:2">
      <c r="B191" s="187"/>
    </row>
    <row r="192" spans="2:2">
      <c r="B192" s="187"/>
    </row>
    <row r="193" spans="2:2">
      <c r="B193" s="187"/>
    </row>
    <row r="194" spans="2:2">
      <c r="B194" s="187"/>
    </row>
    <row r="195" spans="2:2">
      <c r="B195" s="187"/>
    </row>
    <row r="196" spans="2:2">
      <c r="B196" s="187"/>
    </row>
    <row r="197" spans="2:2">
      <c r="B197" s="187"/>
    </row>
    <row r="198" spans="2:2">
      <c r="B198" s="187"/>
    </row>
    <row r="199" spans="2:2">
      <c r="B199" s="187"/>
    </row>
    <row r="200" spans="2:2">
      <c r="B200" s="187"/>
    </row>
    <row r="201" spans="2:2">
      <c r="B201" s="187"/>
    </row>
    <row r="202" spans="2:2">
      <c r="B202" s="187"/>
    </row>
    <row r="203" spans="2:2">
      <c r="B203" s="187"/>
    </row>
    <row r="204" spans="2:2">
      <c r="B204" s="187"/>
    </row>
    <row r="205" spans="2:2">
      <c r="B205" s="187"/>
    </row>
  </sheetData>
  <mergeCells count="9">
    <mergeCell ref="I1:I4"/>
    <mergeCell ref="D3:D4"/>
    <mergeCell ref="F3:F4"/>
    <mergeCell ref="H3:H4"/>
    <mergeCell ref="A1:A4"/>
    <mergeCell ref="C1:C4"/>
    <mergeCell ref="D1:D2"/>
    <mergeCell ref="E1:F2"/>
    <mergeCell ref="G1:H2"/>
  </mergeCells>
  <conditionalFormatting sqref="D63">
    <cfRule type="cellIs" dxfId="2" priority="1" stopIfTrue="1" operator="equal">
      <formula>8223.307275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zoomScale="85" zoomScaleNormal="85" workbookViewId="0">
      <selection activeCell="D6" sqref="D6"/>
    </sheetView>
  </sheetViews>
  <sheetFormatPr defaultColWidth="8.77734375" defaultRowHeight="13.2"/>
  <cols>
    <col min="1" max="1" width="4.44140625" style="142" customWidth="1"/>
    <col min="2" max="2" width="62.109375" style="191" customWidth="1"/>
    <col min="3" max="3" width="8.77734375" style="192"/>
    <col min="4" max="4" width="10.44140625" style="142" bestFit="1" customWidth="1"/>
    <col min="5" max="6" width="13.6640625" style="142" customWidth="1"/>
    <col min="7" max="7" width="13.44140625" style="142" customWidth="1"/>
    <col min="8" max="8" width="10.6640625" style="142" bestFit="1" customWidth="1"/>
    <col min="9" max="9" width="13.44140625" style="142" customWidth="1"/>
    <col min="10" max="10" width="9.44140625" style="142" bestFit="1" customWidth="1"/>
    <col min="11" max="16384" width="8.77734375" style="142"/>
  </cols>
  <sheetData>
    <row r="1" spans="1:10" ht="13.95" customHeight="1">
      <c r="A1" s="287" t="s">
        <v>3</v>
      </c>
      <c r="B1" s="141"/>
      <c r="C1" s="287" t="s">
        <v>165</v>
      </c>
      <c r="D1" s="288"/>
      <c r="E1" s="287" t="s">
        <v>166</v>
      </c>
      <c r="F1" s="287"/>
      <c r="G1" s="287" t="s">
        <v>167</v>
      </c>
      <c r="H1" s="287"/>
      <c r="I1" s="287" t="s">
        <v>103</v>
      </c>
    </row>
    <row r="2" spans="1:10">
      <c r="A2" s="287"/>
      <c r="B2" s="143" t="s">
        <v>158</v>
      </c>
      <c r="C2" s="287"/>
      <c r="D2" s="288"/>
      <c r="E2" s="287"/>
      <c r="F2" s="287"/>
      <c r="G2" s="287"/>
      <c r="H2" s="287"/>
      <c r="I2" s="287"/>
    </row>
    <row r="3" spans="1:10">
      <c r="A3" s="287"/>
      <c r="B3" s="143"/>
      <c r="C3" s="287"/>
      <c r="D3" s="287" t="s">
        <v>168</v>
      </c>
      <c r="E3" s="144" t="s">
        <v>169</v>
      </c>
      <c r="F3" s="287" t="s">
        <v>170</v>
      </c>
      <c r="G3" s="144" t="s">
        <v>169</v>
      </c>
      <c r="H3" s="287" t="s">
        <v>170</v>
      </c>
      <c r="I3" s="287"/>
    </row>
    <row r="4" spans="1:10">
      <c r="A4" s="287"/>
      <c r="B4" s="145"/>
      <c r="C4" s="287"/>
      <c r="D4" s="287"/>
      <c r="E4" s="146" t="s">
        <v>171</v>
      </c>
      <c r="F4" s="287"/>
      <c r="G4" s="146" t="s">
        <v>171</v>
      </c>
      <c r="H4" s="287"/>
      <c r="I4" s="287"/>
    </row>
    <row r="5" spans="1:10" ht="66">
      <c r="A5" s="171">
        <v>3</v>
      </c>
      <c r="B5" s="173" t="s">
        <v>415</v>
      </c>
      <c r="C5" s="171" t="s">
        <v>187</v>
      </c>
      <c r="D5" s="188">
        <v>1</v>
      </c>
      <c r="E5" s="174"/>
      <c r="F5" s="189"/>
      <c r="G5" s="174"/>
      <c r="H5" s="189"/>
      <c r="I5" s="189"/>
      <c r="J5" s="177"/>
    </row>
    <row r="6" spans="1:10" ht="118.8">
      <c r="A6" s="171">
        <v>4</v>
      </c>
      <c r="B6" s="173" t="s">
        <v>416</v>
      </c>
      <c r="C6" s="171" t="s">
        <v>187</v>
      </c>
      <c r="D6" s="188">
        <v>1</v>
      </c>
      <c r="E6" s="174"/>
      <c r="F6" s="189"/>
      <c r="G6" s="174"/>
      <c r="H6" s="189"/>
      <c r="I6" s="189"/>
      <c r="J6" s="177"/>
    </row>
    <row r="7" spans="1:10" ht="79.2">
      <c r="A7" s="171">
        <v>5</v>
      </c>
      <c r="B7" s="173" t="s">
        <v>417</v>
      </c>
      <c r="C7" s="171" t="s">
        <v>187</v>
      </c>
      <c r="D7" s="188">
        <v>1</v>
      </c>
      <c r="E7" s="174"/>
      <c r="F7" s="189"/>
      <c r="G7" s="174"/>
      <c r="H7" s="189"/>
      <c r="I7" s="189"/>
      <c r="J7" s="177"/>
    </row>
    <row r="8" spans="1:10" ht="79.2">
      <c r="A8" s="171">
        <v>6</v>
      </c>
      <c r="B8" s="173" t="s">
        <v>418</v>
      </c>
      <c r="C8" s="171" t="s">
        <v>187</v>
      </c>
      <c r="D8" s="188">
        <v>1</v>
      </c>
      <c r="E8" s="174"/>
      <c r="F8" s="189"/>
      <c r="G8" s="174"/>
      <c r="H8" s="189"/>
      <c r="I8" s="189"/>
      <c r="J8" s="177"/>
    </row>
    <row r="9" spans="1:10" ht="79.2">
      <c r="A9" s="171">
        <v>7</v>
      </c>
      <c r="B9" s="173" t="s">
        <v>419</v>
      </c>
      <c r="C9" s="171" t="s">
        <v>187</v>
      </c>
      <c r="D9" s="188">
        <v>1</v>
      </c>
      <c r="E9" s="174"/>
      <c r="F9" s="189"/>
      <c r="G9" s="174"/>
      <c r="H9" s="189"/>
      <c r="I9" s="189"/>
      <c r="J9" s="177"/>
    </row>
    <row r="10" spans="1:10" ht="118.8">
      <c r="A10" s="171">
        <v>8</v>
      </c>
      <c r="B10" s="173" t="s">
        <v>420</v>
      </c>
      <c r="C10" s="171" t="s">
        <v>187</v>
      </c>
      <c r="D10" s="188">
        <v>1</v>
      </c>
      <c r="E10" s="174"/>
      <c r="F10" s="189"/>
      <c r="G10" s="174"/>
      <c r="H10" s="189"/>
      <c r="I10" s="189"/>
      <c r="J10" s="177"/>
    </row>
    <row r="11" spans="1:10" ht="79.2">
      <c r="A11" s="171">
        <v>9</v>
      </c>
      <c r="B11" s="173" t="s">
        <v>421</v>
      </c>
      <c r="C11" s="171" t="s">
        <v>187</v>
      </c>
      <c r="D11" s="188">
        <v>1</v>
      </c>
      <c r="E11" s="174"/>
      <c r="F11" s="189"/>
      <c r="G11" s="174"/>
      <c r="H11" s="189"/>
      <c r="I11" s="189"/>
      <c r="J11" s="177"/>
    </row>
    <row r="12" spans="1:10" ht="79.2">
      <c r="A12" s="171">
        <v>10</v>
      </c>
      <c r="B12" s="173" t="s">
        <v>421</v>
      </c>
      <c r="C12" s="171" t="s">
        <v>187</v>
      </c>
      <c r="D12" s="188">
        <v>1</v>
      </c>
      <c r="E12" s="174"/>
      <c r="F12" s="189"/>
      <c r="G12" s="174"/>
      <c r="H12" s="189"/>
      <c r="I12" s="189"/>
      <c r="J12" s="177"/>
    </row>
    <row r="13" spans="1:10" ht="79.2">
      <c r="A13" s="171">
        <v>11</v>
      </c>
      <c r="B13" s="173" t="s">
        <v>422</v>
      </c>
      <c r="C13" s="171" t="s">
        <v>187</v>
      </c>
      <c r="D13" s="188">
        <v>1</v>
      </c>
      <c r="E13" s="174"/>
      <c r="F13" s="189"/>
      <c r="G13" s="174"/>
      <c r="H13" s="189"/>
      <c r="I13" s="189"/>
      <c r="J13" s="177"/>
    </row>
    <row r="14" spans="1:10" ht="52.8">
      <c r="A14" s="171">
        <v>12</v>
      </c>
      <c r="B14" s="173" t="s">
        <v>423</v>
      </c>
      <c r="C14" s="171" t="s">
        <v>187</v>
      </c>
      <c r="D14" s="188">
        <v>2</v>
      </c>
      <c r="E14" s="174"/>
      <c r="F14" s="189"/>
      <c r="G14" s="174"/>
      <c r="H14" s="189"/>
      <c r="I14" s="189"/>
      <c r="J14" s="177"/>
    </row>
    <row r="15" spans="1:10" ht="66">
      <c r="A15" s="171">
        <v>13</v>
      </c>
      <c r="B15" s="173" t="s">
        <v>424</v>
      </c>
      <c r="C15" s="171" t="s">
        <v>187</v>
      </c>
      <c r="D15" s="188">
        <v>1</v>
      </c>
      <c r="E15" s="174"/>
      <c r="F15" s="189"/>
      <c r="G15" s="174"/>
      <c r="H15" s="189"/>
      <c r="I15" s="189"/>
      <c r="J15" s="177"/>
    </row>
    <row r="16" spans="1:10" ht="66">
      <c r="A16" s="171">
        <v>14</v>
      </c>
      <c r="B16" s="173" t="s">
        <v>425</v>
      </c>
      <c r="C16" s="171" t="s">
        <v>187</v>
      </c>
      <c r="D16" s="188">
        <v>3</v>
      </c>
      <c r="E16" s="174"/>
      <c r="F16" s="189"/>
      <c r="G16" s="174"/>
      <c r="H16" s="189"/>
      <c r="I16" s="189"/>
      <c r="J16" s="177"/>
    </row>
    <row r="17" spans="1:10" ht="52.8">
      <c r="A17" s="171">
        <v>15</v>
      </c>
      <c r="B17" s="173" t="s">
        <v>426</v>
      </c>
      <c r="C17" s="171" t="s">
        <v>187</v>
      </c>
      <c r="D17" s="188">
        <v>1</v>
      </c>
      <c r="E17" s="174"/>
      <c r="F17" s="189"/>
      <c r="G17" s="174"/>
      <c r="H17" s="189"/>
      <c r="I17" s="189"/>
      <c r="J17" s="177"/>
    </row>
    <row r="18" spans="1:10" ht="92.4">
      <c r="A18" s="171">
        <v>16</v>
      </c>
      <c r="B18" s="173" t="s">
        <v>427</v>
      </c>
      <c r="C18" s="171" t="s">
        <v>187</v>
      </c>
      <c r="D18" s="188">
        <v>3</v>
      </c>
      <c r="E18" s="174"/>
      <c r="F18" s="189"/>
      <c r="G18" s="174"/>
      <c r="H18" s="189"/>
      <c r="I18" s="189"/>
      <c r="J18" s="177"/>
    </row>
    <row r="19" spans="1:10" ht="92.4">
      <c r="A19" s="171">
        <v>17</v>
      </c>
      <c r="B19" s="173" t="s">
        <v>428</v>
      </c>
      <c r="C19" s="171" t="s">
        <v>187</v>
      </c>
      <c r="D19" s="188">
        <v>20</v>
      </c>
      <c r="E19" s="174"/>
      <c r="F19" s="189"/>
      <c r="G19" s="174"/>
      <c r="H19" s="189"/>
      <c r="I19" s="189"/>
      <c r="J19" s="177"/>
    </row>
    <row r="20" spans="1:10" ht="52.8">
      <c r="A20" s="171">
        <v>18</v>
      </c>
      <c r="B20" s="173" t="s">
        <v>429</v>
      </c>
      <c r="C20" s="171" t="s">
        <v>187</v>
      </c>
      <c r="D20" s="188">
        <v>1</v>
      </c>
      <c r="E20" s="174"/>
      <c r="F20" s="189"/>
      <c r="G20" s="174"/>
      <c r="H20" s="189"/>
      <c r="I20" s="189"/>
      <c r="J20" s="177"/>
    </row>
    <row r="21" spans="1:10" ht="26.4">
      <c r="A21" s="171">
        <v>19</v>
      </c>
      <c r="B21" s="173" t="s">
        <v>430</v>
      </c>
      <c r="C21" s="171" t="s">
        <v>31</v>
      </c>
      <c r="D21" s="188">
        <v>101</v>
      </c>
      <c r="E21" s="174"/>
      <c r="F21" s="189"/>
      <c r="G21" s="174"/>
      <c r="H21" s="189"/>
      <c r="I21" s="189"/>
      <c r="J21" s="177"/>
    </row>
    <row r="22" spans="1:10" ht="26.4">
      <c r="A22" s="171">
        <v>20</v>
      </c>
      <c r="B22" s="173" t="s">
        <v>431</v>
      </c>
      <c r="C22" s="171" t="s">
        <v>31</v>
      </c>
      <c r="D22" s="188">
        <v>10</v>
      </c>
      <c r="E22" s="174"/>
      <c r="F22" s="189"/>
      <c r="G22" s="174"/>
      <c r="H22" s="189"/>
      <c r="I22" s="189"/>
      <c r="J22" s="177"/>
    </row>
    <row r="23" spans="1:10" ht="26.4">
      <c r="A23" s="171">
        <v>21</v>
      </c>
      <c r="B23" s="173" t="s">
        <v>432</v>
      </c>
      <c r="C23" s="171" t="s">
        <v>31</v>
      </c>
      <c r="D23" s="188">
        <v>3</v>
      </c>
      <c r="E23" s="174"/>
      <c r="F23" s="189"/>
      <c r="G23" s="174"/>
      <c r="H23" s="189"/>
      <c r="I23" s="189"/>
      <c r="J23" s="177"/>
    </row>
    <row r="24" spans="1:10" ht="26.4">
      <c r="A24" s="171">
        <v>22</v>
      </c>
      <c r="B24" s="173" t="s">
        <v>433</v>
      </c>
      <c r="C24" s="171" t="s">
        <v>31</v>
      </c>
      <c r="D24" s="188">
        <v>120</v>
      </c>
      <c r="E24" s="174"/>
      <c r="F24" s="189"/>
      <c r="G24" s="174"/>
      <c r="H24" s="189"/>
      <c r="I24" s="189"/>
      <c r="J24" s="177"/>
    </row>
    <row r="25" spans="1:10" ht="26.4">
      <c r="A25" s="171">
        <v>23</v>
      </c>
      <c r="B25" s="173" t="s">
        <v>434</v>
      </c>
      <c r="C25" s="171" t="s">
        <v>31</v>
      </c>
      <c r="D25" s="188">
        <v>108</v>
      </c>
      <c r="E25" s="174"/>
      <c r="F25" s="189"/>
      <c r="G25" s="174"/>
      <c r="H25" s="189"/>
      <c r="I25" s="189"/>
      <c r="J25" s="177"/>
    </row>
    <row r="26" spans="1:10" ht="26.4">
      <c r="A26" s="171">
        <v>24</v>
      </c>
      <c r="B26" s="173" t="s">
        <v>435</v>
      </c>
      <c r="C26" s="171" t="s">
        <v>31</v>
      </c>
      <c r="D26" s="188">
        <v>20</v>
      </c>
      <c r="E26" s="174"/>
      <c r="F26" s="189"/>
      <c r="G26" s="174"/>
      <c r="H26" s="189"/>
      <c r="I26" s="189"/>
      <c r="J26" s="177"/>
    </row>
    <row r="27" spans="1:10" ht="26.4">
      <c r="A27" s="171">
        <v>25</v>
      </c>
      <c r="B27" s="173" t="s">
        <v>436</v>
      </c>
      <c r="C27" s="171" t="s">
        <v>31</v>
      </c>
      <c r="D27" s="188">
        <v>71</v>
      </c>
      <c r="E27" s="174"/>
      <c r="F27" s="189"/>
      <c r="G27" s="174"/>
      <c r="H27" s="189"/>
      <c r="I27" s="189"/>
      <c r="J27" s="177"/>
    </row>
    <row r="28" spans="1:10" ht="26.4">
      <c r="A28" s="171">
        <v>26</v>
      </c>
      <c r="B28" s="173" t="s">
        <v>437</v>
      </c>
      <c r="C28" s="171" t="s">
        <v>31</v>
      </c>
      <c r="D28" s="188">
        <v>34</v>
      </c>
      <c r="E28" s="174"/>
      <c r="F28" s="189"/>
      <c r="G28" s="174"/>
      <c r="H28" s="189"/>
      <c r="I28" s="189"/>
      <c r="J28" s="177"/>
    </row>
    <row r="29" spans="1:10" ht="26.4">
      <c r="A29" s="171">
        <v>27</v>
      </c>
      <c r="B29" s="173" t="s">
        <v>438</v>
      </c>
      <c r="C29" s="171" t="s">
        <v>31</v>
      </c>
      <c r="D29" s="188">
        <v>9</v>
      </c>
      <c r="E29" s="174"/>
      <c r="F29" s="189"/>
      <c r="G29" s="174"/>
      <c r="H29" s="189"/>
      <c r="I29" s="189"/>
      <c r="J29" s="177"/>
    </row>
    <row r="30" spans="1:10" ht="26.4">
      <c r="A30" s="171">
        <v>28</v>
      </c>
      <c r="B30" s="212" t="s">
        <v>439</v>
      </c>
      <c r="C30" s="213" t="s">
        <v>31</v>
      </c>
      <c r="D30" s="214">
        <v>42</v>
      </c>
      <c r="E30" s="215"/>
      <c r="F30" s="216"/>
      <c r="G30" s="215"/>
      <c r="H30" s="216"/>
      <c r="I30" s="216"/>
      <c r="J30" s="177"/>
    </row>
    <row r="31" spans="1:10" ht="26.4">
      <c r="A31" s="171">
        <v>29</v>
      </c>
      <c r="B31" s="212" t="s">
        <v>440</v>
      </c>
      <c r="C31" s="213" t="s">
        <v>31</v>
      </c>
      <c r="D31" s="214">
        <v>145</v>
      </c>
      <c r="E31" s="215"/>
      <c r="F31" s="216"/>
      <c r="G31" s="215"/>
      <c r="H31" s="216"/>
      <c r="I31" s="216"/>
      <c r="J31" s="177"/>
    </row>
    <row r="32" spans="1:10" ht="26.4">
      <c r="A32" s="171">
        <v>30</v>
      </c>
      <c r="B32" s="212" t="s">
        <v>441</v>
      </c>
      <c r="C32" s="213" t="s">
        <v>31</v>
      </c>
      <c r="D32" s="214">
        <v>5</v>
      </c>
      <c r="E32" s="215"/>
      <c r="F32" s="216"/>
      <c r="G32" s="215"/>
      <c r="H32" s="216"/>
      <c r="I32" s="216"/>
      <c r="J32" s="177"/>
    </row>
    <row r="33" spans="1:10" ht="26.4">
      <c r="A33" s="171">
        <v>31</v>
      </c>
      <c r="B33" s="173" t="s">
        <v>442</v>
      </c>
      <c r="C33" s="171" t="s">
        <v>31</v>
      </c>
      <c r="D33" s="188">
        <v>40</v>
      </c>
      <c r="E33" s="174"/>
      <c r="F33" s="189"/>
      <c r="G33" s="174"/>
      <c r="H33" s="189"/>
      <c r="I33" s="189"/>
      <c r="J33" s="177"/>
    </row>
    <row r="34" spans="1:10" ht="26.4">
      <c r="A34" s="171">
        <v>32</v>
      </c>
      <c r="B34" s="173" t="s">
        <v>443</v>
      </c>
      <c r="C34" s="171" t="s">
        <v>31</v>
      </c>
      <c r="D34" s="188">
        <v>12</v>
      </c>
      <c r="E34" s="174"/>
      <c r="F34" s="189"/>
      <c r="G34" s="174"/>
      <c r="H34" s="189"/>
      <c r="I34" s="189"/>
      <c r="J34" s="177"/>
    </row>
    <row r="35" spans="1:10" ht="26.4">
      <c r="A35" s="171">
        <v>33</v>
      </c>
      <c r="B35" s="173" t="s">
        <v>444</v>
      </c>
      <c r="C35" s="171" t="s">
        <v>31</v>
      </c>
      <c r="D35" s="188">
        <v>3</v>
      </c>
      <c r="E35" s="174"/>
      <c r="F35" s="189"/>
      <c r="G35" s="174"/>
      <c r="H35" s="189"/>
      <c r="I35" s="189"/>
      <c r="J35" s="177"/>
    </row>
    <row r="36" spans="1:10" ht="26.4">
      <c r="A36" s="171">
        <v>34</v>
      </c>
      <c r="B36" s="173" t="s">
        <v>445</v>
      </c>
      <c r="C36" s="171" t="s">
        <v>31</v>
      </c>
      <c r="D36" s="188">
        <v>8</v>
      </c>
      <c r="E36" s="174"/>
      <c r="F36" s="189"/>
      <c r="G36" s="174"/>
      <c r="H36" s="189"/>
      <c r="I36" s="189"/>
      <c r="J36" s="177"/>
    </row>
    <row r="37" spans="1:10" ht="26.4">
      <c r="A37" s="171">
        <v>35</v>
      </c>
      <c r="B37" s="173" t="s">
        <v>446</v>
      </c>
      <c r="C37" s="171" t="s">
        <v>31</v>
      </c>
      <c r="D37" s="188">
        <v>6</v>
      </c>
      <c r="E37" s="174"/>
      <c r="F37" s="189"/>
      <c r="G37" s="174"/>
      <c r="H37" s="189"/>
      <c r="I37" s="189"/>
      <c r="J37" s="177"/>
    </row>
    <row r="38" spans="1:10" ht="26.4">
      <c r="A38" s="171">
        <v>36</v>
      </c>
      <c r="B38" s="173" t="s">
        <v>447</v>
      </c>
      <c r="C38" s="171" t="s">
        <v>31</v>
      </c>
      <c r="D38" s="188">
        <v>222</v>
      </c>
      <c r="E38" s="174"/>
      <c r="F38" s="189"/>
      <c r="G38" s="174"/>
      <c r="H38" s="189"/>
      <c r="I38" s="189"/>
      <c r="J38" s="177"/>
    </row>
    <row r="39" spans="1:10" ht="26.4">
      <c r="A39" s="171">
        <v>37</v>
      </c>
      <c r="B39" s="173" t="s">
        <v>448</v>
      </c>
      <c r="C39" s="171" t="s">
        <v>31</v>
      </c>
      <c r="D39" s="188">
        <v>1</v>
      </c>
      <c r="E39" s="174"/>
      <c r="F39" s="189"/>
      <c r="G39" s="174"/>
      <c r="H39" s="189"/>
      <c r="I39" s="189"/>
      <c r="J39" s="177"/>
    </row>
    <row r="40" spans="1:10" ht="26.4">
      <c r="A40" s="171">
        <v>38</v>
      </c>
      <c r="B40" s="173" t="s">
        <v>449</v>
      </c>
      <c r="C40" s="171" t="s">
        <v>31</v>
      </c>
      <c r="D40" s="188">
        <v>120</v>
      </c>
      <c r="E40" s="174"/>
      <c r="F40" s="189"/>
      <c r="G40" s="174"/>
      <c r="H40" s="189"/>
      <c r="I40" s="189"/>
      <c r="J40" s="177"/>
    </row>
    <row r="41" spans="1:10" ht="26.4">
      <c r="A41" s="171">
        <v>39</v>
      </c>
      <c r="B41" s="173" t="s">
        <v>450</v>
      </c>
      <c r="C41" s="171" t="s">
        <v>31</v>
      </c>
      <c r="D41" s="188">
        <v>15</v>
      </c>
      <c r="E41" s="174"/>
      <c r="F41" s="189"/>
      <c r="G41" s="174"/>
      <c r="H41" s="189"/>
      <c r="I41" s="189"/>
      <c r="J41" s="177"/>
    </row>
    <row r="42" spans="1:10" ht="39.6">
      <c r="A42" s="171">
        <v>40</v>
      </c>
      <c r="B42" s="173" t="s">
        <v>451</v>
      </c>
      <c r="C42" s="171" t="s">
        <v>31</v>
      </c>
      <c r="D42" s="188">
        <v>20</v>
      </c>
      <c r="E42" s="174"/>
      <c r="F42" s="189"/>
      <c r="G42" s="174"/>
      <c r="H42" s="189"/>
      <c r="I42" s="189"/>
      <c r="J42" s="177"/>
    </row>
    <row r="43" spans="1:10" ht="26.4">
      <c r="A43" s="171">
        <v>41</v>
      </c>
      <c r="B43" s="173" t="s">
        <v>452</v>
      </c>
      <c r="C43" s="171" t="s">
        <v>31</v>
      </c>
      <c r="D43" s="188">
        <v>190</v>
      </c>
      <c r="E43" s="174"/>
      <c r="F43" s="189"/>
      <c r="G43" s="174"/>
      <c r="H43" s="189"/>
      <c r="I43" s="189"/>
      <c r="J43" s="177"/>
    </row>
    <row r="44" spans="1:10" ht="13.8">
      <c r="A44" s="171">
        <v>42</v>
      </c>
      <c r="B44" s="173" t="s">
        <v>453</v>
      </c>
      <c r="C44" s="171" t="s">
        <v>31</v>
      </c>
      <c r="D44" s="188">
        <v>20</v>
      </c>
      <c r="E44" s="174"/>
      <c r="F44" s="189"/>
      <c r="G44" s="174"/>
      <c r="H44" s="189"/>
      <c r="I44" s="189"/>
      <c r="J44" s="177"/>
    </row>
    <row r="45" spans="1:10" ht="26.4">
      <c r="A45" s="171">
        <v>43</v>
      </c>
      <c r="B45" s="173" t="s">
        <v>454</v>
      </c>
      <c r="C45" s="171" t="s">
        <v>31</v>
      </c>
      <c r="D45" s="188">
        <v>600</v>
      </c>
      <c r="E45" s="174"/>
      <c r="F45" s="189"/>
      <c r="G45" s="174"/>
      <c r="H45" s="189"/>
      <c r="I45" s="189"/>
      <c r="J45" s="177"/>
    </row>
    <row r="46" spans="1:10" ht="26.4">
      <c r="A46" s="171">
        <v>44</v>
      </c>
      <c r="B46" s="173" t="s">
        <v>455</v>
      </c>
      <c r="C46" s="171" t="s">
        <v>31</v>
      </c>
      <c r="D46" s="188">
        <v>110</v>
      </c>
      <c r="E46" s="174"/>
      <c r="F46" s="189"/>
      <c r="G46" s="174"/>
      <c r="H46" s="189"/>
      <c r="I46" s="189"/>
      <c r="J46" s="177"/>
    </row>
    <row r="47" spans="1:10" ht="13.8">
      <c r="A47" s="171">
        <v>45</v>
      </c>
      <c r="B47" s="173" t="s">
        <v>456</v>
      </c>
      <c r="C47" s="171" t="s">
        <v>31</v>
      </c>
      <c r="D47" s="188">
        <v>300</v>
      </c>
      <c r="E47" s="174"/>
      <c r="F47" s="189"/>
      <c r="G47" s="174"/>
      <c r="H47" s="189"/>
      <c r="I47" s="189"/>
      <c r="J47" s="177"/>
    </row>
    <row r="48" spans="1:10" ht="13.8">
      <c r="A48" s="171">
        <v>46</v>
      </c>
      <c r="B48" s="173" t="s">
        <v>457</v>
      </c>
      <c r="C48" s="171" t="s">
        <v>65</v>
      </c>
      <c r="D48" s="188">
        <v>8500</v>
      </c>
      <c r="E48" s="174"/>
      <c r="F48" s="189"/>
      <c r="G48" s="174"/>
      <c r="H48" s="189"/>
      <c r="I48" s="189"/>
      <c r="J48" s="177"/>
    </row>
    <row r="49" spans="1:10" ht="13.8">
      <c r="A49" s="171">
        <v>47</v>
      </c>
      <c r="B49" s="173" t="s">
        <v>458</v>
      </c>
      <c r="C49" s="171" t="s">
        <v>65</v>
      </c>
      <c r="D49" s="188">
        <v>1500</v>
      </c>
      <c r="E49" s="174"/>
      <c r="F49" s="189"/>
      <c r="G49" s="174"/>
      <c r="H49" s="189"/>
      <c r="I49" s="189"/>
      <c r="J49" s="177"/>
    </row>
    <row r="50" spans="1:10" ht="13.8">
      <c r="A50" s="171">
        <v>48</v>
      </c>
      <c r="B50" s="173" t="s">
        <v>459</v>
      </c>
      <c r="C50" s="171" t="s">
        <v>65</v>
      </c>
      <c r="D50" s="188">
        <v>10000</v>
      </c>
      <c r="E50" s="174"/>
      <c r="F50" s="189"/>
      <c r="G50" s="174"/>
      <c r="H50" s="189"/>
      <c r="I50" s="189"/>
      <c r="J50" s="177"/>
    </row>
    <row r="51" spans="1:10" ht="13.8">
      <c r="A51" s="171">
        <v>49</v>
      </c>
      <c r="B51" s="173" t="s">
        <v>460</v>
      </c>
      <c r="C51" s="171" t="s">
        <v>65</v>
      </c>
      <c r="D51" s="188">
        <v>500</v>
      </c>
      <c r="E51" s="174"/>
      <c r="F51" s="189"/>
      <c r="G51" s="174"/>
      <c r="H51" s="189"/>
      <c r="I51" s="189"/>
      <c r="J51" s="177"/>
    </row>
    <row r="52" spans="1:10" ht="13.8">
      <c r="A52" s="171">
        <v>50</v>
      </c>
      <c r="B52" s="173" t="s">
        <v>461</v>
      </c>
      <c r="C52" s="171" t="s">
        <v>65</v>
      </c>
      <c r="D52" s="188">
        <v>30</v>
      </c>
      <c r="E52" s="174"/>
      <c r="F52" s="189"/>
      <c r="G52" s="174"/>
      <c r="H52" s="189"/>
      <c r="I52" s="189"/>
      <c r="J52" s="177"/>
    </row>
    <row r="53" spans="1:10" ht="13.8">
      <c r="A53" s="171">
        <v>51</v>
      </c>
      <c r="B53" s="173" t="s">
        <v>462</v>
      </c>
      <c r="C53" s="171" t="s">
        <v>65</v>
      </c>
      <c r="D53" s="188">
        <v>150</v>
      </c>
      <c r="E53" s="174"/>
      <c r="F53" s="189"/>
      <c r="G53" s="174"/>
      <c r="H53" s="189"/>
      <c r="I53" s="189"/>
      <c r="J53" s="177"/>
    </row>
    <row r="54" spans="1:10" ht="13.8">
      <c r="A54" s="171">
        <v>52</v>
      </c>
      <c r="B54" s="173" t="s">
        <v>463</v>
      </c>
      <c r="C54" s="171" t="s">
        <v>65</v>
      </c>
      <c r="D54" s="188">
        <v>45</v>
      </c>
      <c r="E54" s="174"/>
      <c r="F54" s="189"/>
      <c r="G54" s="174"/>
      <c r="H54" s="189"/>
      <c r="I54" s="189"/>
      <c r="J54" s="177"/>
    </row>
    <row r="55" spans="1:10" ht="13.8">
      <c r="A55" s="171">
        <v>53</v>
      </c>
      <c r="B55" s="173" t="s">
        <v>464</v>
      </c>
      <c r="C55" s="171" t="s">
        <v>65</v>
      </c>
      <c r="D55" s="188">
        <v>20</v>
      </c>
      <c r="E55" s="174"/>
      <c r="F55" s="189"/>
      <c r="G55" s="174"/>
      <c r="H55" s="189"/>
      <c r="I55" s="189"/>
      <c r="J55" s="177"/>
    </row>
    <row r="56" spans="1:10" ht="13.8">
      <c r="A56" s="171">
        <v>54</v>
      </c>
      <c r="B56" s="173" t="s">
        <v>465</v>
      </c>
      <c r="C56" s="171" t="s">
        <v>65</v>
      </c>
      <c r="D56" s="188">
        <v>200</v>
      </c>
      <c r="E56" s="174"/>
      <c r="F56" s="189"/>
      <c r="G56" s="174"/>
      <c r="H56" s="189"/>
      <c r="I56" s="189"/>
      <c r="J56" s="177"/>
    </row>
    <row r="57" spans="1:10" ht="13.8">
      <c r="A57" s="171">
        <v>55</v>
      </c>
      <c r="B57" s="173" t="s">
        <v>466</v>
      </c>
      <c r="C57" s="171" t="s">
        <v>65</v>
      </c>
      <c r="D57" s="188">
        <v>100</v>
      </c>
      <c r="E57" s="174"/>
      <c r="F57" s="189"/>
      <c r="G57" s="174"/>
      <c r="H57" s="189"/>
      <c r="I57" s="189"/>
      <c r="J57" s="177"/>
    </row>
    <row r="58" spans="1:10" ht="13.8">
      <c r="A58" s="171">
        <v>56</v>
      </c>
      <c r="B58" s="173" t="s">
        <v>467</v>
      </c>
      <c r="C58" s="171" t="s">
        <v>65</v>
      </c>
      <c r="D58" s="188">
        <v>100</v>
      </c>
      <c r="E58" s="174"/>
      <c r="F58" s="189"/>
      <c r="G58" s="174"/>
      <c r="H58" s="189"/>
      <c r="I58" s="189"/>
      <c r="J58" s="177"/>
    </row>
    <row r="59" spans="1:10" ht="13.8">
      <c r="A59" s="171">
        <v>57</v>
      </c>
      <c r="B59" s="173" t="s">
        <v>468</v>
      </c>
      <c r="C59" s="171" t="s">
        <v>65</v>
      </c>
      <c r="D59" s="188">
        <v>130</v>
      </c>
      <c r="E59" s="174"/>
      <c r="F59" s="189"/>
      <c r="G59" s="174"/>
      <c r="H59" s="189"/>
      <c r="I59" s="189"/>
      <c r="J59" s="177"/>
    </row>
    <row r="60" spans="1:10" ht="13.8">
      <c r="A60" s="171">
        <v>58</v>
      </c>
      <c r="B60" s="173" t="s">
        <v>469</v>
      </c>
      <c r="C60" s="171" t="s">
        <v>65</v>
      </c>
      <c r="D60" s="188">
        <v>200</v>
      </c>
      <c r="E60" s="174"/>
      <c r="F60" s="189"/>
      <c r="G60" s="174"/>
      <c r="H60" s="189"/>
      <c r="I60" s="189"/>
      <c r="J60" s="177"/>
    </row>
    <row r="61" spans="1:10" ht="13.8">
      <c r="A61" s="171">
        <v>59</v>
      </c>
      <c r="B61" s="173" t="s">
        <v>470</v>
      </c>
      <c r="C61" s="171" t="s">
        <v>65</v>
      </c>
      <c r="D61" s="188">
        <v>20000</v>
      </c>
      <c r="E61" s="174"/>
      <c r="F61" s="189"/>
      <c r="G61" s="174"/>
      <c r="H61" s="189"/>
      <c r="I61" s="189"/>
      <c r="J61" s="177"/>
    </row>
    <row r="62" spans="1:10" ht="13.8">
      <c r="A62" s="171">
        <v>60</v>
      </c>
      <c r="B62" s="173" t="s">
        <v>471</v>
      </c>
      <c r="C62" s="171" t="s">
        <v>65</v>
      </c>
      <c r="D62" s="188">
        <v>400</v>
      </c>
      <c r="E62" s="174"/>
      <c r="F62" s="189"/>
      <c r="G62" s="174"/>
      <c r="H62" s="189"/>
      <c r="I62" s="189"/>
      <c r="J62" s="177"/>
    </row>
    <row r="63" spans="1:10" ht="13.8">
      <c r="A63" s="171">
        <v>61</v>
      </c>
      <c r="B63" s="173" t="s">
        <v>472</v>
      </c>
      <c r="C63" s="171" t="s">
        <v>65</v>
      </c>
      <c r="D63" s="188">
        <v>250</v>
      </c>
      <c r="E63" s="174"/>
      <c r="F63" s="189"/>
      <c r="G63" s="174"/>
      <c r="H63" s="189"/>
      <c r="I63" s="189"/>
      <c r="J63" s="177"/>
    </row>
    <row r="64" spans="1:10" ht="13.8">
      <c r="A64" s="171">
        <v>62</v>
      </c>
      <c r="B64" s="173" t="s">
        <v>473</v>
      </c>
      <c r="C64" s="171" t="s">
        <v>31</v>
      </c>
      <c r="D64" s="188">
        <v>1</v>
      </c>
      <c r="E64" s="174"/>
      <c r="F64" s="189"/>
      <c r="G64" s="174"/>
      <c r="H64" s="189"/>
      <c r="I64" s="189"/>
      <c r="J64" s="177"/>
    </row>
    <row r="65" spans="1:10" ht="13.8">
      <c r="A65" s="171">
        <v>63</v>
      </c>
      <c r="B65" s="173" t="s">
        <v>474</v>
      </c>
      <c r="C65" s="171" t="s">
        <v>31</v>
      </c>
      <c r="D65" s="188">
        <v>1</v>
      </c>
      <c r="E65" s="174"/>
      <c r="F65" s="189"/>
      <c r="G65" s="174"/>
      <c r="H65" s="189"/>
      <c r="I65" s="189"/>
      <c r="J65" s="177"/>
    </row>
    <row r="66" spans="1:10" ht="13.8">
      <c r="A66" s="171">
        <v>64</v>
      </c>
      <c r="B66" s="173" t="s">
        <v>475</v>
      </c>
      <c r="C66" s="171" t="s">
        <v>31</v>
      </c>
      <c r="D66" s="188">
        <v>1</v>
      </c>
      <c r="E66" s="174"/>
      <c r="F66" s="189"/>
      <c r="G66" s="174"/>
      <c r="H66" s="189"/>
      <c r="I66" s="189"/>
      <c r="J66" s="177"/>
    </row>
    <row r="67" spans="1:10" ht="26.4">
      <c r="A67" s="171">
        <v>65</v>
      </c>
      <c r="B67" s="173" t="s">
        <v>476</v>
      </c>
      <c r="C67" s="171" t="s">
        <v>31</v>
      </c>
      <c r="D67" s="188">
        <v>1</v>
      </c>
      <c r="E67" s="174"/>
      <c r="F67" s="189"/>
      <c r="G67" s="174"/>
      <c r="H67" s="189"/>
      <c r="I67" s="189"/>
      <c r="J67" s="177"/>
    </row>
    <row r="68" spans="1:10" ht="13.8">
      <c r="A68" s="171">
        <v>66</v>
      </c>
      <c r="B68" s="173" t="s">
        <v>477</v>
      </c>
      <c r="C68" s="171" t="s">
        <v>31</v>
      </c>
      <c r="D68" s="188">
        <v>1</v>
      </c>
      <c r="E68" s="174"/>
      <c r="F68" s="189"/>
      <c r="G68" s="174"/>
      <c r="H68" s="189"/>
      <c r="I68" s="189"/>
      <c r="J68" s="177"/>
    </row>
    <row r="69" spans="1:10" ht="13.8">
      <c r="A69" s="171">
        <v>67</v>
      </c>
      <c r="B69" s="173" t="s">
        <v>478</v>
      </c>
      <c r="C69" s="171" t="s">
        <v>31</v>
      </c>
      <c r="D69" s="188">
        <v>20</v>
      </c>
      <c r="E69" s="174"/>
      <c r="F69" s="189"/>
      <c r="G69" s="174"/>
      <c r="H69" s="189"/>
      <c r="I69" s="189"/>
      <c r="J69" s="177"/>
    </row>
    <row r="70" spans="1:10" ht="13.8">
      <c r="A70" s="171">
        <v>68</v>
      </c>
      <c r="B70" s="173" t="s">
        <v>479</v>
      </c>
      <c r="C70" s="171" t="s">
        <v>31</v>
      </c>
      <c r="D70" s="188">
        <v>10</v>
      </c>
      <c r="E70" s="174"/>
      <c r="F70" s="189"/>
      <c r="G70" s="174"/>
      <c r="H70" s="189"/>
      <c r="I70" s="189"/>
      <c r="J70" s="177"/>
    </row>
    <row r="71" spans="1:10" ht="13.8">
      <c r="A71" s="171">
        <v>69</v>
      </c>
      <c r="B71" s="173" t="s">
        <v>480</v>
      </c>
      <c r="C71" s="171" t="s">
        <v>65</v>
      </c>
      <c r="D71" s="188">
        <v>50</v>
      </c>
      <c r="E71" s="174"/>
      <c r="F71" s="189"/>
      <c r="G71" s="174"/>
      <c r="H71" s="189"/>
      <c r="I71" s="189"/>
      <c r="J71" s="177"/>
    </row>
    <row r="72" spans="1:10" ht="13.8">
      <c r="A72" s="171">
        <v>70</v>
      </c>
      <c r="B72" s="173" t="s">
        <v>481</v>
      </c>
      <c r="C72" s="171" t="s">
        <v>65</v>
      </c>
      <c r="D72" s="188">
        <v>480</v>
      </c>
      <c r="E72" s="174"/>
      <c r="F72" s="189"/>
      <c r="G72" s="174"/>
      <c r="H72" s="189"/>
      <c r="I72" s="189"/>
      <c r="J72" s="177"/>
    </row>
    <row r="73" spans="1:10" ht="13.8">
      <c r="A73" s="171">
        <v>71</v>
      </c>
      <c r="B73" s="173" t="s">
        <v>482</v>
      </c>
      <c r="C73" s="171" t="s">
        <v>65</v>
      </c>
      <c r="D73" s="188">
        <v>30</v>
      </c>
      <c r="E73" s="174"/>
      <c r="F73" s="189"/>
      <c r="G73" s="174"/>
      <c r="H73" s="189"/>
      <c r="I73" s="189"/>
      <c r="J73" s="177"/>
    </row>
    <row r="74" spans="1:10" ht="13.8">
      <c r="A74" s="171">
        <v>72</v>
      </c>
      <c r="B74" s="173" t="s">
        <v>483</v>
      </c>
      <c r="C74" s="171" t="s">
        <v>31</v>
      </c>
      <c r="D74" s="188">
        <v>6</v>
      </c>
      <c r="E74" s="174"/>
      <c r="F74" s="189"/>
      <c r="G74" s="174"/>
      <c r="H74" s="189"/>
      <c r="I74" s="189"/>
      <c r="J74" s="177"/>
    </row>
    <row r="75" spans="1:10" ht="13.8">
      <c r="A75" s="171">
        <v>73</v>
      </c>
      <c r="B75" s="173" t="s">
        <v>484</v>
      </c>
      <c r="C75" s="171" t="s">
        <v>31</v>
      </c>
      <c r="D75" s="188">
        <v>8</v>
      </c>
      <c r="E75" s="174"/>
      <c r="F75" s="189"/>
      <c r="G75" s="174"/>
      <c r="H75" s="189"/>
      <c r="I75" s="189"/>
      <c r="J75" s="177"/>
    </row>
    <row r="76" spans="1:10" ht="13.8">
      <c r="A76" s="171">
        <v>74</v>
      </c>
      <c r="B76" s="173" t="s">
        <v>485</v>
      </c>
      <c r="C76" s="171" t="s">
        <v>31</v>
      </c>
      <c r="D76" s="188">
        <v>8</v>
      </c>
      <c r="E76" s="174"/>
      <c r="F76" s="189"/>
      <c r="G76" s="174"/>
      <c r="H76" s="189"/>
      <c r="I76" s="189"/>
      <c r="J76" s="177"/>
    </row>
    <row r="77" spans="1:10" ht="13.8">
      <c r="A77" s="171">
        <v>75</v>
      </c>
      <c r="B77" s="173" t="s">
        <v>486</v>
      </c>
      <c r="C77" s="171" t="s">
        <v>31</v>
      </c>
      <c r="D77" s="188">
        <v>8</v>
      </c>
      <c r="E77" s="174"/>
      <c r="F77" s="189"/>
      <c r="G77" s="174"/>
      <c r="H77" s="189"/>
      <c r="I77" s="189"/>
      <c r="J77" s="177"/>
    </row>
    <row r="78" spans="1:10" ht="13.8">
      <c r="A78" s="171">
        <v>76</v>
      </c>
      <c r="B78" s="173" t="s">
        <v>487</v>
      </c>
      <c r="C78" s="171" t="s">
        <v>31</v>
      </c>
      <c r="D78" s="188">
        <v>60</v>
      </c>
      <c r="E78" s="174"/>
      <c r="F78" s="189"/>
      <c r="G78" s="174"/>
      <c r="H78" s="189"/>
      <c r="I78" s="189"/>
      <c r="J78" s="177"/>
    </row>
    <row r="79" spans="1:10" ht="13.8">
      <c r="A79" s="171">
        <v>77</v>
      </c>
      <c r="B79" s="173" t="s">
        <v>488</v>
      </c>
      <c r="C79" s="171" t="s">
        <v>31</v>
      </c>
      <c r="D79" s="188">
        <v>80</v>
      </c>
      <c r="E79" s="174"/>
      <c r="F79" s="189"/>
      <c r="G79" s="174"/>
      <c r="H79" s="189"/>
      <c r="I79" s="189"/>
      <c r="J79" s="177"/>
    </row>
    <row r="80" spans="1:10" ht="13.8">
      <c r="A80" s="171">
        <v>78</v>
      </c>
      <c r="B80" s="173" t="s">
        <v>489</v>
      </c>
      <c r="C80" s="171" t="s">
        <v>31</v>
      </c>
      <c r="D80" s="188">
        <v>8</v>
      </c>
      <c r="E80" s="174"/>
      <c r="F80" s="189"/>
      <c r="G80" s="174"/>
      <c r="H80" s="189"/>
      <c r="I80" s="189"/>
      <c r="J80" s="177"/>
    </row>
    <row r="81" spans="1:10" ht="13.8">
      <c r="A81" s="171">
        <v>79</v>
      </c>
      <c r="B81" s="173" t="s">
        <v>490</v>
      </c>
      <c r="C81" s="171" t="s">
        <v>31</v>
      </c>
      <c r="D81" s="188">
        <v>80</v>
      </c>
      <c r="E81" s="174"/>
      <c r="F81" s="189"/>
      <c r="G81" s="174"/>
      <c r="H81" s="189"/>
      <c r="I81" s="189"/>
      <c r="J81" s="177"/>
    </row>
    <row r="82" spans="1:10" ht="13.8">
      <c r="A82" s="171">
        <v>80</v>
      </c>
      <c r="B82" s="173" t="s">
        <v>491</v>
      </c>
      <c r="C82" s="171" t="s">
        <v>65</v>
      </c>
      <c r="D82" s="188">
        <v>200</v>
      </c>
      <c r="E82" s="174"/>
      <c r="F82" s="189"/>
      <c r="G82" s="174"/>
      <c r="H82" s="189"/>
      <c r="I82" s="189"/>
      <c r="J82" s="177"/>
    </row>
    <row r="83" spans="1:10" ht="13.8">
      <c r="A83" s="171">
        <v>81</v>
      </c>
      <c r="B83" s="173" t="s">
        <v>492</v>
      </c>
      <c r="C83" s="171" t="s">
        <v>65</v>
      </c>
      <c r="D83" s="188">
        <v>50</v>
      </c>
      <c r="E83" s="174"/>
      <c r="F83" s="189"/>
      <c r="G83" s="174"/>
      <c r="H83" s="189"/>
      <c r="I83" s="189"/>
      <c r="J83" s="177"/>
    </row>
    <row r="84" spans="1:10" ht="13.8">
      <c r="A84" s="171">
        <v>82</v>
      </c>
      <c r="B84" s="173" t="s">
        <v>493</v>
      </c>
      <c r="C84" s="171" t="s">
        <v>65</v>
      </c>
      <c r="D84" s="188">
        <v>100</v>
      </c>
      <c r="E84" s="174"/>
      <c r="F84" s="189"/>
      <c r="G84" s="174"/>
      <c r="H84" s="189"/>
      <c r="I84" s="189"/>
      <c r="J84" s="177"/>
    </row>
    <row r="85" spans="1:10" ht="13.8">
      <c r="A85" s="171">
        <v>83</v>
      </c>
      <c r="B85" s="173" t="s">
        <v>494</v>
      </c>
      <c r="C85" s="171" t="s">
        <v>21</v>
      </c>
      <c r="D85" s="188">
        <v>40</v>
      </c>
      <c r="E85" s="174"/>
      <c r="F85" s="189"/>
      <c r="G85" s="174"/>
      <c r="H85" s="189"/>
      <c r="I85" s="189"/>
      <c r="J85" s="177"/>
    </row>
    <row r="86" spans="1:10" ht="13.8">
      <c r="A86" s="171">
        <v>84</v>
      </c>
      <c r="B86" s="173" t="s">
        <v>495</v>
      </c>
      <c r="C86" s="171" t="s">
        <v>21</v>
      </c>
      <c r="D86" s="188">
        <v>28</v>
      </c>
      <c r="E86" s="174"/>
      <c r="F86" s="189"/>
      <c r="G86" s="174"/>
      <c r="H86" s="189"/>
      <c r="I86" s="189"/>
      <c r="J86" s="177"/>
    </row>
    <row r="87" spans="1:10" ht="13.8">
      <c r="A87" s="171">
        <v>85</v>
      </c>
      <c r="B87" s="173" t="s">
        <v>496</v>
      </c>
      <c r="C87" s="171" t="s">
        <v>21</v>
      </c>
      <c r="D87" s="188">
        <v>9.4</v>
      </c>
      <c r="E87" s="174"/>
      <c r="F87" s="189"/>
      <c r="G87" s="174"/>
      <c r="H87" s="189"/>
      <c r="I87" s="189"/>
      <c r="J87" s="177"/>
    </row>
    <row r="88" spans="1:10" ht="13.8">
      <c r="A88" s="82"/>
      <c r="B88" s="83" t="s">
        <v>103</v>
      </c>
      <c r="C88" s="82"/>
      <c r="D88" s="84"/>
      <c r="E88" s="85"/>
      <c r="F88" s="31">
        <f>SUM(F5:F87)</f>
        <v>0</v>
      </c>
      <c r="G88" s="86"/>
      <c r="H88" s="31">
        <f>SUM(H5:H87)</f>
        <v>0</v>
      </c>
      <c r="I88" s="31">
        <f>SUM(I5:I87)</f>
        <v>0</v>
      </c>
    </row>
    <row r="89" spans="1:10" ht="14.4">
      <c r="A89" s="82"/>
      <c r="B89" s="89" t="s">
        <v>104</v>
      </c>
      <c r="C89" s="90">
        <v>0</v>
      </c>
      <c r="D89" s="91"/>
      <c r="E89" s="92"/>
      <c r="F89" s="87"/>
      <c r="G89" s="86"/>
      <c r="H89" s="86"/>
      <c r="I89" s="87">
        <f>F88*C89</f>
        <v>0</v>
      </c>
    </row>
    <row r="90" spans="1:10" ht="13.8">
      <c r="A90" s="89"/>
      <c r="B90" s="89" t="s">
        <v>103</v>
      </c>
      <c r="C90" s="89"/>
      <c r="D90" s="95"/>
      <c r="E90" s="96"/>
      <c r="F90" s="97"/>
      <c r="G90" s="97"/>
      <c r="H90" s="97"/>
      <c r="I90" s="97">
        <f>I88+I89</f>
        <v>0</v>
      </c>
    </row>
    <row r="91" spans="1:10" ht="13.8">
      <c r="A91" s="89"/>
      <c r="B91" s="100" t="s">
        <v>105</v>
      </c>
      <c r="C91" s="101">
        <v>0</v>
      </c>
      <c r="D91" s="102"/>
      <c r="E91" s="103"/>
      <c r="F91" s="104"/>
      <c r="G91" s="104"/>
      <c r="H91" s="104"/>
      <c r="I91" s="104">
        <f>I90*C91</f>
        <v>0</v>
      </c>
    </row>
    <row r="92" spans="1:10" ht="13.8">
      <c r="A92" s="100"/>
      <c r="B92" s="100" t="s">
        <v>103</v>
      </c>
      <c r="C92" s="100"/>
      <c r="D92" s="102"/>
      <c r="E92" s="103"/>
      <c r="F92" s="104"/>
      <c r="G92" s="104"/>
      <c r="H92" s="104"/>
      <c r="I92" s="104">
        <f>I90+I91</f>
        <v>0</v>
      </c>
    </row>
    <row r="93" spans="1:10" ht="13.8">
      <c r="A93" s="100"/>
      <c r="B93" s="100" t="s">
        <v>106</v>
      </c>
      <c r="C93" s="107">
        <v>0</v>
      </c>
      <c r="D93" s="102"/>
      <c r="E93" s="103"/>
      <c r="F93" s="104"/>
      <c r="G93" s="104"/>
      <c r="H93" s="104"/>
      <c r="I93" s="104">
        <f>I92*C93</f>
        <v>0</v>
      </c>
    </row>
    <row r="94" spans="1:10" ht="13.8">
      <c r="A94" s="100"/>
      <c r="B94" s="100" t="s">
        <v>103</v>
      </c>
      <c r="C94" s="100"/>
      <c r="D94" s="102"/>
      <c r="E94" s="103"/>
      <c r="F94" s="104"/>
      <c r="G94" s="104"/>
      <c r="H94" s="104"/>
      <c r="I94" s="104">
        <f>I92+I93</f>
        <v>0</v>
      </c>
    </row>
    <row r="95" spans="1:10" ht="13.8">
      <c r="A95" s="100"/>
      <c r="B95" s="100" t="s">
        <v>107</v>
      </c>
      <c r="C95" s="107">
        <v>0</v>
      </c>
      <c r="D95" s="102"/>
      <c r="E95" s="103"/>
      <c r="F95" s="104"/>
      <c r="G95" s="104"/>
      <c r="H95" s="104"/>
      <c r="I95" s="104">
        <f>I94*C95</f>
        <v>0</v>
      </c>
    </row>
    <row r="96" spans="1:10" ht="13.8">
      <c r="A96" s="100"/>
      <c r="B96" s="100" t="s">
        <v>103</v>
      </c>
      <c r="C96" s="100"/>
      <c r="D96" s="102"/>
      <c r="E96" s="103"/>
      <c r="F96" s="104"/>
      <c r="G96" s="104"/>
      <c r="H96" s="104"/>
      <c r="I96" s="104">
        <f>I94+I95</f>
        <v>0</v>
      </c>
    </row>
    <row r="97" spans="1:9" ht="14.4">
      <c r="A97" s="27"/>
      <c r="B97" s="108" t="s">
        <v>108</v>
      </c>
      <c r="C97" s="109">
        <v>0.18</v>
      </c>
      <c r="D97" s="110"/>
      <c r="E97" s="111"/>
      <c r="F97" s="112"/>
      <c r="G97" s="112"/>
      <c r="H97" s="112"/>
      <c r="I97" s="112">
        <f>I96*C97</f>
        <v>0</v>
      </c>
    </row>
    <row r="98" spans="1:9" ht="14.4">
      <c r="A98" s="27"/>
      <c r="B98" s="108" t="s">
        <v>103</v>
      </c>
      <c r="C98" s="115"/>
      <c r="D98" s="110"/>
      <c r="E98" s="111"/>
      <c r="F98" s="112"/>
      <c r="G98" s="112"/>
      <c r="H98" s="112"/>
      <c r="I98" s="112">
        <f>I96+I97</f>
        <v>0</v>
      </c>
    </row>
    <row r="99" spans="1:9" ht="14.4">
      <c r="A99" s="139"/>
      <c r="B99" s="178"/>
      <c r="C99" s="179"/>
      <c r="D99" s="180"/>
      <c r="E99" s="139"/>
      <c r="F99" s="139"/>
      <c r="G99" s="139"/>
      <c r="H99" s="139"/>
      <c r="I99" s="190"/>
    </row>
  </sheetData>
  <mergeCells count="9">
    <mergeCell ref="I1:I4"/>
    <mergeCell ref="D3:D4"/>
    <mergeCell ref="F3:F4"/>
    <mergeCell ref="H3:H4"/>
    <mergeCell ref="A1:A4"/>
    <mergeCell ref="C1:C4"/>
    <mergeCell ref="D1:D2"/>
    <mergeCell ref="E1:F2"/>
    <mergeCell ref="G1:H2"/>
  </mergeCells>
  <conditionalFormatting sqref="D90">
    <cfRule type="cellIs" dxfId="1" priority="1" stopIfTrue="1" operator="equal">
      <formula>8223.307275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="126" zoomScaleNormal="126" workbookViewId="0">
      <selection activeCell="B11" sqref="B11"/>
    </sheetView>
  </sheetViews>
  <sheetFormatPr defaultColWidth="8.77734375" defaultRowHeight="14.4"/>
  <cols>
    <col min="2" max="2" width="59.6640625" style="187" customWidth="1"/>
    <col min="3" max="4" width="8.77734375" style="203"/>
    <col min="5" max="6" width="11.109375" customWidth="1"/>
    <col min="7" max="8" width="11.44140625" customWidth="1"/>
    <col min="9" max="9" width="12.44140625" customWidth="1"/>
    <col min="11" max="11" width="14.109375" customWidth="1"/>
  </cols>
  <sheetData>
    <row r="1" spans="1:10" ht="14.55" customHeight="1">
      <c r="A1" s="287" t="s">
        <v>3</v>
      </c>
      <c r="B1" s="141"/>
      <c r="C1" s="287" t="s">
        <v>165</v>
      </c>
      <c r="D1" s="288"/>
      <c r="E1" s="287" t="s">
        <v>166</v>
      </c>
      <c r="F1" s="287"/>
      <c r="G1" s="287" t="s">
        <v>167</v>
      </c>
      <c r="H1" s="287"/>
      <c r="I1" s="287" t="s">
        <v>103</v>
      </c>
    </row>
    <row r="2" spans="1:10">
      <c r="A2" s="287"/>
      <c r="B2" s="143" t="s">
        <v>158</v>
      </c>
      <c r="C2" s="287"/>
      <c r="D2" s="288"/>
      <c r="E2" s="287"/>
      <c r="F2" s="287"/>
      <c r="G2" s="287"/>
      <c r="H2" s="287"/>
      <c r="I2" s="287"/>
    </row>
    <row r="3" spans="1:10">
      <c r="A3" s="287"/>
      <c r="B3" s="143"/>
      <c r="C3" s="287"/>
      <c r="D3" s="287" t="s">
        <v>168</v>
      </c>
      <c r="E3" s="144" t="s">
        <v>169</v>
      </c>
      <c r="F3" s="287" t="s">
        <v>170</v>
      </c>
      <c r="G3" s="144" t="s">
        <v>169</v>
      </c>
      <c r="H3" s="287" t="s">
        <v>170</v>
      </c>
      <c r="I3" s="287"/>
    </row>
    <row r="4" spans="1:10">
      <c r="A4" s="287"/>
      <c r="B4" s="145"/>
      <c r="C4" s="287"/>
      <c r="D4" s="287"/>
      <c r="E4" s="146" t="s">
        <v>171</v>
      </c>
      <c r="F4" s="287"/>
      <c r="G4" s="146" t="s">
        <v>171</v>
      </c>
      <c r="H4" s="287"/>
      <c r="I4" s="287"/>
    </row>
    <row r="5" spans="1:10">
      <c r="A5" s="147"/>
      <c r="B5" s="148" t="s">
        <v>497</v>
      </c>
      <c r="C5" s="149"/>
      <c r="D5" s="147"/>
      <c r="E5" s="193"/>
      <c r="F5" s="193"/>
      <c r="G5" s="193"/>
      <c r="H5" s="193"/>
      <c r="I5" s="193"/>
    </row>
    <row r="6" spans="1:10" ht="26.4">
      <c r="A6" s="151">
        <v>1</v>
      </c>
      <c r="B6" s="159" t="s">
        <v>498</v>
      </c>
      <c r="C6" s="151" t="s">
        <v>187</v>
      </c>
      <c r="D6" s="151">
        <v>1</v>
      </c>
      <c r="E6" s="194"/>
      <c r="F6" s="194"/>
      <c r="G6" s="194"/>
      <c r="H6" s="194"/>
      <c r="I6" s="194"/>
      <c r="J6" s="195"/>
    </row>
    <row r="7" spans="1:10">
      <c r="A7" s="151">
        <v>2</v>
      </c>
      <c r="B7" s="159" t="s">
        <v>499</v>
      </c>
      <c r="C7" s="151" t="s">
        <v>31</v>
      </c>
      <c r="D7" s="151">
        <v>1</v>
      </c>
      <c r="E7" s="194"/>
      <c r="F7" s="194"/>
      <c r="G7" s="194"/>
      <c r="H7" s="194"/>
      <c r="I7" s="194"/>
      <c r="J7" s="195"/>
    </row>
    <row r="8" spans="1:10">
      <c r="A8" s="151">
        <v>3</v>
      </c>
      <c r="B8" s="159" t="s">
        <v>500</v>
      </c>
      <c r="C8" s="151" t="s">
        <v>31</v>
      </c>
      <c r="D8" s="151">
        <v>85</v>
      </c>
      <c r="E8" s="194"/>
      <c r="F8" s="194"/>
      <c r="G8" s="194"/>
      <c r="H8" s="194"/>
      <c r="I8" s="194"/>
      <c r="J8" s="195"/>
    </row>
    <row r="9" spans="1:10">
      <c r="A9" s="151">
        <v>4</v>
      </c>
      <c r="B9" s="159" t="s">
        <v>501</v>
      </c>
      <c r="C9" s="151" t="s">
        <v>31</v>
      </c>
      <c r="D9" s="151">
        <v>10</v>
      </c>
      <c r="E9" s="194"/>
      <c r="F9" s="194"/>
      <c r="G9" s="194"/>
      <c r="H9" s="194"/>
      <c r="I9" s="194"/>
      <c r="J9" s="195"/>
    </row>
    <row r="10" spans="1:10">
      <c r="A10" s="151">
        <v>5</v>
      </c>
      <c r="B10" s="159" t="s">
        <v>502</v>
      </c>
      <c r="C10" s="151" t="s">
        <v>31</v>
      </c>
      <c r="D10" s="151">
        <v>10</v>
      </c>
      <c r="E10" s="194"/>
      <c r="F10" s="194"/>
      <c r="G10" s="194"/>
      <c r="H10" s="194"/>
      <c r="I10" s="194"/>
      <c r="J10" s="195"/>
    </row>
    <row r="11" spans="1:10" ht="26.4">
      <c r="A11" s="151">
        <v>6</v>
      </c>
      <c r="B11" s="159" t="s">
        <v>503</v>
      </c>
      <c r="C11" s="151" t="s">
        <v>65</v>
      </c>
      <c r="D11" s="151">
        <v>1950</v>
      </c>
      <c r="E11" s="194"/>
      <c r="F11" s="194"/>
      <c r="G11" s="194"/>
      <c r="H11" s="194"/>
      <c r="I11" s="194"/>
      <c r="J11" s="195"/>
    </row>
    <row r="12" spans="1:10">
      <c r="A12" s="151">
        <v>7</v>
      </c>
      <c r="B12" s="159" t="s">
        <v>504</v>
      </c>
      <c r="C12" s="151" t="s">
        <v>65</v>
      </c>
      <c r="D12" s="151">
        <v>100</v>
      </c>
      <c r="E12" s="194"/>
      <c r="F12" s="194"/>
      <c r="G12" s="194"/>
      <c r="H12" s="194"/>
      <c r="I12" s="194"/>
      <c r="J12" s="195"/>
    </row>
    <row r="13" spans="1:10">
      <c r="A13" s="151">
        <v>8</v>
      </c>
      <c r="B13" s="159" t="s">
        <v>505</v>
      </c>
      <c r="C13" s="151" t="s">
        <v>65</v>
      </c>
      <c r="D13" s="151">
        <v>950</v>
      </c>
      <c r="E13" s="194"/>
      <c r="F13" s="194"/>
      <c r="G13" s="194"/>
      <c r="H13" s="194"/>
      <c r="I13" s="194"/>
      <c r="J13" s="195"/>
    </row>
    <row r="14" spans="1:10">
      <c r="A14" s="151">
        <v>9</v>
      </c>
      <c r="B14" s="159" t="s">
        <v>506</v>
      </c>
      <c r="C14" s="151" t="s">
        <v>31</v>
      </c>
      <c r="D14" s="151">
        <v>85</v>
      </c>
      <c r="E14" s="194"/>
      <c r="F14" s="194"/>
      <c r="G14" s="194"/>
      <c r="H14" s="194"/>
      <c r="I14" s="194"/>
      <c r="J14" s="195"/>
    </row>
    <row r="15" spans="1:10">
      <c r="A15" s="151">
        <v>10</v>
      </c>
      <c r="B15" s="159" t="s">
        <v>507</v>
      </c>
      <c r="C15" s="151"/>
      <c r="D15" s="151">
        <v>1</v>
      </c>
      <c r="E15" s="194"/>
      <c r="F15" s="194"/>
      <c r="G15" s="194"/>
      <c r="H15" s="194"/>
      <c r="I15" s="194"/>
      <c r="J15" s="195"/>
    </row>
    <row r="16" spans="1:10">
      <c r="A16" s="147"/>
      <c r="B16" s="148" t="s">
        <v>508</v>
      </c>
      <c r="C16" s="149"/>
      <c r="D16" s="147"/>
      <c r="E16" s="196"/>
      <c r="F16" s="196"/>
      <c r="G16" s="196"/>
      <c r="H16" s="196"/>
      <c r="I16" s="196"/>
      <c r="J16" s="195"/>
    </row>
    <row r="17" spans="1:10">
      <c r="A17" s="151">
        <v>1</v>
      </c>
      <c r="B17" s="152" t="s">
        <v>509</v>
      </c>
      <c r="C17" s="151" t="s">
        <v>187</v>
      </c>
      <c r="D17" s="151">
        <v>1</v>
      </c>
      <c r="E17" s="194"/>
      <c r="F17" s="194"/>
      <c r="G17" s="194"/>
      <c r="H17" s="194"/>
      <c r="I17" s="194"/>
      <c r="J17" s="195"/>
    </row>
    <row r="18" spans="1:10" ht="26.4">
      <c r="A18" s="151">
        <v>2</v>
      </c>
      <c r="B18" s="152" t="s">
        <v>510</v>
      </c>
      <c r="C18" s="151" t="s">
        <v>31</v>
      </c>
      <c r="D18" s="151">
        <v>2</v>
      </c>
      <c r="E18" s="194"/>
      <c r="F18" s="194"/>
      <c r="G18" s="194"/>
      <c r="H18" s="194"/>
      <c r="I18" s="194"/>
      <c r="J18" s="195"/>
    </row>
    <row r="19" spans="1:10">
      <c r="A19" s="151">
        <v>3</v>
      </c>
      <c r="B19" s="152" t="s">
        <v>511</v>
      </c>
      <c r="C19" s="151" t="s">
        <v>31</v>
      </c>
      <c r="D19" s="151">
        <v>1</v>
      </c>
      <c r="E19" s="194"/>
      <c r="F19" s="194"/>
      <c r="G19" s="194"/>
      <c r="H19" s="194"/>
      <c r="I19" s="194"/>
      <c r="J19" s="195"/>
    </row>
    <row r="20" spans="1:10">
      <c r="A20" s="151">
        <v>4</v>
      </c>
      <c r="B20" s="152" t="s">
        <v>512</v>
      </c>
      <c r="C20" s="151" t="s">
        <v>31</v>
      </c>
      <c r="D20" s="151">
        <v>9</v>
      </c>
      <c r="E20" s="194"/>
      <c r="F20" s="194"/>
      <c r="G20" s="194"/>
      <c r="H20" s="194"/>
      <c r="I20" s="194"/>
      <c r="J20" s="195"/>
    </row>
    <row r="21" spans="1:10">
      <c r="A21" s="151">
        <v>5</v>
      </c>
      <c r="B21" s="152" t="s">
        <v>513</v>
      </c>
      <c r="C21" s="151" t="s">
        <v>31</v>
      </c>
      <c r="D21" s="151">
        <v>20</v>
      </c>
      <c r="E21" s="194"/>
      <c r="F21" s="194"/>
      <c r="G21" s="194"/>
      <c r="H21" s="194"/>
      <c r="I21" s="194"/>
      <c r="J21" s="195"/>
    </row>
    <row r="22" spans="1:10">
      <c r="A22" s="151">
        <v>6</v>
      </c>
      <c r="B22" s="152" t="s">
        <v>514</v>
      </c>
      <c r="C22" s="151"/>
      <c r="D22" s="151">
        <v>1380</v>
      </c>
      <c r="E22" s="194"/>
      <c r="F22" s="194"/>
      <c r="G22" s="194"/>
      <c r="H22" s="194"/>
      <c r="I22" s="194"/>
      <c r="J22" s="195"/>
    </row>
    <row r="23" spans="1:10">
      <c r="A23" s="151">
        <v>7</v>
      </c>
      <c r="B23" s="152" t="s">
        <v>515</v>
      </c>
      <c r="C23" s="151" t="s">
        <v>31</v>
      </c>
      <c r="D23" s="151">
        <v>29</v>
      </c>
      <c r="E23" s="194"/>
      <c r="F23" s="194"/>
      <c r="G23" s="194"/>
      <c r="H23" s="194"/>
      <c r="I23" s="194"/>
      <c r="J23" s="195"/>
    </row>
    <row r="24" spans="1:10" s="198" customFormat="1">
      <c r="A24" s="166">
        <v>8</v>
      </c>
      <c r="B24" s="167" t="s">
        <v>516</v>
      </c>
      <c r="C24" s="151" t="s">
        <v>65</v>
      </c>
      <c r="D24" s="166">
        <v>30</v>
      </c>
      <c r="E24" s="197"/>
      <c r="F24" s="194"/>
      <c r="G24" s="197"/>
      <c r="H24" s="194"/>
      <c r="I24" s="194"/>
      <c r="J24" s="195"/>
    </row>
    <row r="25" spans="1:10">
      <c r="A25" s="151">
        <v>9</v>
      </c>
      <c r="B25" s="152" t="s">
        <v>505</v>
      </c>
      <c r="C25" s="151" t="s">
        <v>65</v>
      </c>
      <c r="D25" s="151">
        <v>820</v>
      </c>
      <c r="E25" s="194"/>
      <c r="F25" s="194"/>
      <c r="G25" s="194"/>
      <c r="H25" s="194"/>
      <c r="I25" s="194"/>
      <c r="J25" s="195"/>
    </row>
    <row r="26" spans="1:10" ht="26.4">
      <c r="A26" s="151">
        <v>10</v>
      </c>
      <c r="B26" s="152" t="s">
        <v>517</v>
      </c>
      <c r="C26" s="151"/>
      <c r="D26" s="151">
        <v>1</v>
      </c>
      <c r="E26" s="194"/>
      <c r="F26" s="194"/>
      <c r="G26" s="194"/>
      <c r="H26" s="194"/>
      <c r="I26" s="194"/>
      <c r="J26" s="195"/>
    </row>
    <row r="27" spans="1:10">
      <c r="A27" s="151">
        <v>11</v>
      </c>
      <c r="B27" s="152" t="s">
        <v>568</v>
      </c>
      <c r="C27" s="151"/>
      <c r="D27" s="151">
        <v>1</v>
      </c>
      <c r="E27" s="194"/>
      <c r="F27" s="194"/>
      <c r="G27" s="194"/>
      <c r="H27" s="194"/>
      <c r="I27" s="194"/>
      <c r="J27" s="195"/>
    </row>
    <row r="28" spans="1:10">
      <c r="A28" s="151">
        <v>12</v>
      </c>
      <c r="B28" s="161" t="s">
        <v>518</v>
      </c>
      <c r="C28" s="161"/>
      <c r="D28" s="161"/>
      <c r="E28" s="194"/>
      <c r="F28" s="194"/>
      <c r="G28" s="194"/>
      <c r="H28" s="194"/>
      <c r="I28" s="194"/>
      <c r="J28" s="195"/>
    </row>
    <row r="29" spans="1:10">
      <c r="A29" s="151">
        <v>12</v>
      </c>
      <c r="B29" s="152" t="s">
        <v>519</v>
      </c>
      <c r="C29" s="151" t="s">
        <v>31</v>
      </c>
      <c r="D29" s="151">
        <v>27</v>
      </c>
      <c r="E29" s="194"/>
      <c r="F29" s="194"/>
      <c r="G29" s="194"/>
      <c r="H29" s="194"/>
      <c r="I29" s="194"/>
      <c r="J29" s="195"/>
    </row>
    <row r="30" spans="1:10">
      <c r="A30" s="151">
        <v>13</v>
      </c>
      <c r="B30" s="152" t="s">
        <v>520</v>
      </c>
      <c r="C30" s="151" t="s">
        <v>31</v>
      </c>
      <c r="D30" s="151">
        <v>54</v>
      </c>
      <c r="E30" s="194"/>
      <c r="F30" s="194"/>
      <c r="G30" s="194"/>
      <c r="H30" s="194"/>
      <c r="I30" s="194"/>
      <c r="J30" s="195"/>
    </row>
    <row r="31" spans="1:10">
      <c r="A31" s="151">
        <v>14</v>
      </c>
      <c r="B31" s="152" t="s">
        <v>521</v>
      </c>
      <c r="C31" s="151" t="s">
        <v>31</v>
      </c>
      <c r="D31" s="151">
        <v>108</v>
      </c>
      <c r="E31" s="194"/>
      <c r="F31" s="194"/>
      <c r="G31" s="194"/>
      <c r="H31" s="194"/>
      <c r="I31" s="194"/>
      <c r="J31" s="195"/>
    </row>
    <row r="32" spans="1:10">
      <c r="A32" s="199"/>
      <c r="B32" s="200" t="s">
        <v>522</v>
      </c>
      <c r="C32" s="201"/>
      <c r="D32" s="201"/>
      <c r="E32" s="196"/>
      <c r="F32" s="196"/>
      <c r="G32" s="196"/>
      <c r="H32" s="196"/>
      <c r="I32" s="196"/>
      <c r="J32" s="195"/>
    </row>
    <row r="33" spans="1:10" ht="26.4">
      <c r="A33" s="151">
        <v>1</v>
      </c>
      <c r="B33" s="152" t="s">
        <v>523</v>
      </c>
      <c r="C33" s="151" t="s">
        <v>187</v>
      </c>
      <c r="D33" s="151">
        <v>1</v>
      </c>
      <c r="E33" s="194"/>
      <c r="F33" s="194"/>
      <c r="G33" s="194"/>
      <c r="H33" s="194"/>
      <c r="I33" s="194"/>
      <c r="J33" s="195"/>
    </row>
    <row r="34" spans="1:10">
      <c r="A34" s="151">
        <v>2</v>
      </c>
      <c r="B34" s="173" t="s">
        <v>524</v>
      </c>
      <c r="C34" s="151" t="s">
        <v>31</v>
      </c>
      <c r="D34" s="151">
        <v>8</v>
      </c>
      <c r="E34" s="194"/>
      <c r="F34" s="194"/>
      <c r="G34" s="194"/>
      <c r="H34" s="194"/>
      <c r="I34" s="194"/>
      <c r="J34" s="195"/>
    </row>
    <row r="35" spans="1:10">
      <c r="A35" s="151">
        <v>3</v>
      </c>
      <c r="B35" s="173" t="s">
        <v>525</v>
      </c>
      <c r="C35" s="171" t="s">
        <v>31</v>
      </c>
      <c r="D35" s="171">
        <v>4</v>
      </c>
      <c r="E35" s="197"/>
      <c r="F35" s="194"/>
      <c r="G35" s="194"/>
      <c r="H35" s="194"/>
      <c r="I35" s="194"/>
      <c r="J35" s="195"/>
    </row>
    <row r="36" spans="1:10">
      <c r="A36" s="151">
        <v>4</v>
      </c>
      <c r="B36" s="173" t="s">
        <v>526</v>
      </c>
      <c r="C36" s="171" t="s">
        <v>65</v>
      </c>
      <c r="D36" s="171">
        <v>7345</v>
      </c>
      <c r="E36" s="194"/>
      <c r="F36" s="194"/>
      <c r="G36" s="194"/>
      <c r="H36" s="194"/>
      <c r="I36" s="194"/>
      <c r="J36" s="195"/>
    </row>
    <row r="37" spans="1:10" ht="27">
      <c r="A37" s="151">
        <v>5</v>
      </c>
      <c r="B37" s="173" t="s">
        <v>527</v>
      </c>
      <c r="C37" s="171" t="s">
        <v>65</v>
      </c>
      <c r="D37" s="171">
        <v>745</v>
      </c>
      <c r="E37" s="194"/>
      <c r="F37" s="194"/>
      <c r="G37" s="194"/>
      <c r="H37" s="194"/>
      <c r="I37" s="194"/>
      <c r="J37" s="195"/>
    </row>
    <row r="38" spans="1:10">
      <c r="A38" s="151">
        <v>6</v>
      </c>
      <c r="B38" s="173" t="s">
        <v>528</v>
      </c>
      <c r="C38" s="171" t="s">
        <v>31</v>
      </c>
      <c r="D38" s="171">
        <v>157</v>
      </c>
      <c r="E38" s="194"/>
      <c r="F38" s="194"/>
      <c r="G38" s="194"/>
      <c r="H38" s="194"/>
      <c r="I38" s="194"/>
      <c r="J38" s="195"/>
    </row>
    <row r="39" spans="1:10">
      <c r="A39" s="151">
        <v>7</v>
      </c>
      <c r="B39" s="173" t="s">
        <v>529</v>
      </c>
      <c r="C39" s="171" t="s">
        <v>31</v>
      </c>
      <c r="D39" s="171">
        <v>22</v>
      </c>
      <c r="E39" s="194"/>
      <c r="F39" s="194"/>
      <c r="G39" s="194"/>
      <c r="H39" s="194"/>
      <c r="I39" s="194"/>
      <c r="J39" s="195"/>
    </row>
    <row r="40" spans="1:10">
      <c r="A40" s="151">
        <v>8</v>
      </c>
      <c r="B40" s="173" t="s">
        <v>516</v>
      </c>
      <c r="C40" s="171" t="s">
        <v>65</v>
      </c>
      <c r="D40" s="171">
        <v>30</v>
      </c>
      <c r="E40" s="194"/>
      <c r="F40" s="194"/>
      <c r="G40" s="194"/>
      <c r="H40" s="194"/>
      <c r="I40" s="194"/>
      <c r="J40" s="195"/>
    </row>
    <row r="41" spans="1:10">
      <c r="A41" s="151">
        <v>9</v>
      </c>
      <c r="B41" s="173" t="s">
        <v>530</v>
      </c>
      <c r="C41" s="171" t="s">
        <v>65</v>
      </c>
      <c r="D41" s="171">
        <v>800</v>
      </c>
      <c r="E41" s="194"/>
      <c r="F41" s="194"/>
      <c r="G41" s="194"/>
      <c r="H41" s="194"/>
      <c r="I41" s="194"/>
      <c r="J41" s="195"/>
    </row>
    <row r="42" spans="1:10">
      <c r="A42" s="151">
        <v>10</v>
      </c>
      <c r="B42" s="173" t="s">
        <v>531</v>
      </c>
      <c r="C42" s="171" t="s">
        <v>31</v>
      </c>
      <c r="D42" s="171">
        <v>52</v>
      </c>
      <c r="E42" s="194"/>
      <c r="F42" s="194"/>
      <c r="G42" s="194"/>
      <c r="H42" s="194"/>
      <c r="I42" s="194"/>
      <c r="J42" s="195"/>
    </row>
    <row r="43" spans="1:10">
      <c r="A43" s="151">
        <v>11</v>
      </c>
      <c r="B43" s="173" t="s">
        <v>532</v>
      </c>
      <c r="C43" s="171" t="s">
        <v>31</v>
      </c>
      <c r="D43" s="171">
        <v>53</v>
      </c>
      <c r="E43" s="194"/>
      <c r="F43" s="194"/>
      <c r="G43" s="194"/>
      <c r="H43" s="194"/>
      <c r="I43" s="194"/>
      <c r="J43" s="195"/>
    </row>
    <row r="44" spans="1:10">
      <c r="A44" s="151">
        <v>12</v>
      </c>
      <c r="B44" s="173" t="s">
        <v>533</v>
      </c>
      <c r="C44" s="171" t="s">
        <v>31</v>
      </c>
      <c r="D44" s="171">
        <v>52</v>
      </c>
      <c r="E44" s="194"/>
      <c r="F44" s="194"/>
      <c r="G44" s="194"/>
      <c r="H44" s="194"/>
      <c r="I44" s="194"/>
      <c r="J44" s="195"/>
    </row>
    <row r="45" spans="1:10">
      <c r="A45" s="151">
        <v>13</v>
      </c>
      <c r="B45" s="173" t="s">
        <v>534</v>
      </c>
      <c r="C45" s="171" t="s">
        <v>65</v>
      </c>
      <c r="D45" s="171">
        <v>140</v>
      </c>
      <c r="E45" s="194"/>
      <c r="F45" s="194"/>
      <c r="G45" s="194"/>
      <c r="H45" s="194"/>
      <c r="I45" s="194"/>
      <c r="J45" s="195"/>
    </row>
    <row r="46" spans="1:10">
      <c r="A46" s="151">
        <v>14</v>
      </c>
      <c r="B46" s="173" t="s">
        <v>535</v>
      </c>
      <c r="C46" s="171" t="s">
        <v>31</v>
      </c>
      <c r="D46" s="171">
        <v>54</v>
      </c>
      <c r="E46" s="194"/>
      <c r="F46" s="194"/>
      <c r="G46" s="194"/>
      <c r="H46" s="194"/>
      <c r="I46" s="194"/>
      <c r="J46" s="195"/>
    </row>
    <row r="47" spans="1:10">
      <c r="A47" s="151">
        <v>15</v>
      </c>
      <c r="B47" s="202" t="s">
        <v>507</v>
      </c>
      <c r="C47" s="150"/>
      <c r="D47" s="171">
        <v>1</v>
      </c>
      <c r="E47" s="194"/>
      <c r="F47" s="194"/>
      <c r="G47" s="194"/>
      <c r="H47" s="194"/>
      <c r="I47" s="194"/>
      <c r="J47" s="195">
        <f t="shared" ref="J47" si="0">E47*1.2</f>
        <v>0</v>
      </c>
    </row>
    <row r="48" spans="1:10">
      <c r="A48" s="82"/>
      <c r="B48" s="83" t="s">
        <v>103</v>
      </c>
      <c r="C48" s="82"/>
      <c r="D48" s="84"/>
      <c r="E48" s="85"/>
      <c r="F48" s="31">
        <f>SUM(F6:F47)</f>
        <v>0</v>
      </c>
      <c r="G48" s="86"/>
      <c r="H48" s="31">
        <f>SUM(H6:H47)</f>
        <v>0</v>
      </c>
      <c r="I48" s="31">
        <f>SUM(I6:I47)</f>
        <v>0</v>
      </c>
    </row>
    <row r="49" spans="1:11">
      <c r="A49" s="82"/>
      <c r="B49" s="89" t="s">
        <v>104</v>
      </c>
      <c r="C49" s="90">
        <v>0</v>
      </c>
      <c r="D49" s="91"/>
      <c r="E49" s="92"/>
      <c r="F49" s="87"/>
      <c r="G49" s="86"/>
      <c r="H49" s="86"/>
      <c r="I49" s="87">
        <f>F48*C49</f>
        <v>0</v>
      </c>
    </row>
    <row r="50" spans="1:11">
      <c r="A50" s="89"/>
      <c r="B50" s="89" t="s">
        <v>103</v>
      </c>
      <c r="C50" s="89"/>
      <c r="D50" s="95"/>
      <c r="E50" s="96"/>
      <c r="F50" s="97"/>
      <c r="G50" s="97"/>
      <c r="H50" s="97"/>
      <c r="I50" s="97">
        <f>I48+I49</f>
        <v>0</v>
      </c>
    </row>
    <row r="51" spans="1:11">
      <c r="A51" s="89"/>
      <c r="B51" s="100" t="s">
        <v>105</v>
      </c>
      <c r="C51" s="101">
        <v>0</v>
      </c>
      <c r="D51" s="102"/>
      <c r="E51" s="103"/>
      <c r="F51" s="104"/>
      <c r="G51" s="104"/>
      <c r="H51" s="104"/>
      <c r="I51" s="104">
        <f>I50*C51</f>
        <v>0</v>
      </c>
    </row>
    <row r="52" spans="1:11">
      <c r="A52" s="100"/>
      <c r="B52" s="100" t="s">
        <v>103</v>
      </c>
      <c r="C52" s="100"/>
      <c r="D52" s="102"/>
      <c r="E52" s="103"/>
      <c r="F52" s="104"/>
      <c r="G52" s="104"/>
      <c r="H52" s="104"/>
      <c r="I52" s="104">
        <f>I50+I51</f>
        <v>0</v>
      </c>
    </row>
    <row r="53" spans="1:11">
      <c r="A53" s="100"/>
      <c r="B53" s="100" t="s">
        <v>106</v>
      </c>
      <c r="C53" s="107">
        <v>0</v>
      </c>
      <c r="D53" s="102"/>
      <c r="E53" s="103"/>
      <c r="F53" s="104"/>
      <c r="G53" s="104"/>
      <c r="H53" s="104"/>
      <c r="I53" s="104">
        <f>I52*C53</f>
        <v>0</v>
      </c>
    </row>
    <row r="54" spans="1:11">
      <c r="A54" s="100"/>
      <c r="B54" s="100" t="s">
        <v>103</v>
      </c>
      <c r="C54" s="100"/>
      <c r="D54" s="102"/>
      <c r="E54" s="103"/>
      <c r="F54" s="104"/>
      <c r="G54" s="104"/>
      <c r="H54" s="104"/>
      <c r="I54" s="104">
        <f>I52+I53</f>
        <v>0</v>
      </c>
    </row>
    <row r="55" spans="1:11">
      <c r="A55" s="100"/>
      <c r="B55" s="100" t="s">
        <v>107</v>
      </c>
      <c r="C55" s="107">
        <v>0</v>
      </c>
      <c r="D55" s="102"/>
      <c r="E55" s="103"/>
      <c r="F55" s="104"/>
      <c r="G55" s="104"/>
      <c r="H55" s="104"/>
      <c r="I55" s="104">
        <f>I54*C55</f>
        <v>0</v>
      </c>
    </row>
    <row r="56" spans="1:11">
      <c r="A56" s="100"/>
      <c r="B56" s="100" t="s">
        <v>103</v>
      </c>
      <c r="C56" s="100"/>
      <c r="D56" s="102"/>
      <c r="E56" s="103"/>
      <c r="F56" s="104"/>
      <c r="G56" s="104"/>
      <c r="H56" s="104"/>
      <c r="I56" s="104">
        <f>I54+I55</f>
        <v>0</v>
      </c>
    </row>
    <row r="57" spans="1:11">
      <c r="A57" s="27"/>
      <c r="B57" s="108" t="s">
        <v>108</v>
      </c>
      <c r="C57" s="109">
        <v>0.18</v>
      </c>
      <c r="D57" s="110"/>
      <c r="E57" s="111"/>
      <c r="F57" s="112"/>
      <c r="G57" s="112"/>
      <c r="H57" s="112"/>
      <c r="I57" s="112">
        <f>I56*C57</f>
        <v>0</v>
      </c>
    </row>
    <row r="58" spans="1:11">
      <c r="A58" s="27"/>
      <c r="B58" s="108" t="s">
        <v>103</v>
      </c>
      <c r="C58" s="115"/>
      <c r="D58" s="110"/>
      <c r="E58" s="111"/>
      <c r="F58" s="112"/>
      <c r="G58" s="112"/>
      <c r="H58" s="112"/>
      <c r="I58" s="112">
        <f>I56+I57</f>
        <v>0</v>
      </c>
      <c r="K58" s="112"/>
    </row>
    <row r="59" spans="1:11">
      <c r="A59" s="139"/>
      <c r="B59" s="178"/>
      <c r="C59" s="179"/>
      <c r="D59" s="180"/>
      <c r="E59" s="139"/>
      <c r="F59" s="139"/>
      <c r="G59" s="139"/>
      <c r="H59" s="139"/>
      <c r="I59" s="190"/>
    </row>
  </sheetData>
  <mergeCells count="9">
    <mergeCell ref="I1:I4"/>
    <mergeCell ref="A1:A4"/>
    <mergeCell ref="C1:C4"/>
    <mergeCell ref="D1:D2"/>
    <mergeCell ref="E1:F2"/>
    <mergeCell ref="G1:H2"/>
    <mergeCell ref="D3:D4"/>
    <mergeCell ref="F3:F4"/>
    <mergeCell ref="H3:H4"/>
  </mergeCells>
  <conditionalFormatting sqref="D50">
    <cfRule type="cellIs" dxfId="0" priority="1" stopIfTrue="1" operator="equal">
      <formula>8223.307275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ჯამი</vt:lpstr>
      <vt:lpstr>დანამატით</vt:lpstr>
      <vt:lpstr>Renovation</vt:lpstr>
      <vt:lpstr>HVAC</vt:lpstr>
      <vt:lpstr>სახანძრო სპრინკლერის გარეშე</vt:lpstr>
      <vt:lpstr>ელექტროობა</vt:lpstr>
      <vt:lpstr>სუსტი დენები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2020-06-22T17:12:29Z</dcterms:modified>
</cp:coreProperties>
</file>